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3"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<sst xmlns="http://schemas.openxmlformats.org/spreadsheetml/2006/main" count="1516" uniqueCount="802">
  <si>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</si>
  <si>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</si>
  <si>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</si>
  <si>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</si>
  <si>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</si>
  <si>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</si>
  <si>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</si>
  <si>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</si>
  <si>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</si>
  <si>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</si>
  <si>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</si>
  <si>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</si>
  <si>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</si>
  <si>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</si>
  <si>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</si>
  <si>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</si>
  <si>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</si>
  <si>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</si>
  <si>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</si>
  <si>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</si>
  <si>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</si>
  <si>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</si>
  <si>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</si>
  <si>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</si>
  <si>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</si>
  <si>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</si>
  <si>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</si>
  <si>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</si>
  <si>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</si>
  <si>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</si>
  <si>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</si>
  <si>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</si>
  <si>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</si>
  <si>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</si>
  <si>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</si>
  <si>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</si>
  <si>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</si>
  <si>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</si>
  <si>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</si>
  <si>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</si>
  <si>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</si>
  <si>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</si>
  <si>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</si>
  <si>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</si>
  <si>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</si>
  <si>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</si>
  <si>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</si>
  <si>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</si>
  <si>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</si>
  <si>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</si>
  <si>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</si>
  <si>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</si>
  <si>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</si>
  <si>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</si>
  <si>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</si>
  <si>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</si>
  <si>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</si>
  <si>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</si>
  <si>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</si>
  <si>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</si>
  <si>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</si>
  <si>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</si>
  <si>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</si>
  <si>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</si>
  <si>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</si>
  <si>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</si>
  <si>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</si>
  <si>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</si>
  <si>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</si>
  <si>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</si>
  <si>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</si>
  <si>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</si>
  <si>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</si>
  <si>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</si>
  <si>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</si>
  <si>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</si>
  <si>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</si>
  <si>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</si>
  <si>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</si>
  <si>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</si>
  <si>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</si>
  <si>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</si>
  <si>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</si>
  <si>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</si>
  <si>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</si>
  <si>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</si>
  <si>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</si>
  <si>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</si>
  <si>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</si>
  <si>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</si>
  <si>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</si>
  <si>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</si>
  <si>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</si>
  <si>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</si>
  <si>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</si>
  <si>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</si>
  <si>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</si>
  <si>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</si>
  <si>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</si>
  <si>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</si>
  <si>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</si>
  <si>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</si>
  <si>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</si>
  <si>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</si>
  <si>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</si>
  <si>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</si>
  <si>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</si>
  <si>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</si>
  <si>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</si>
  <si>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</si>
  <si>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</si>
  <si>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</si>
  <si>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</si>
  <si>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</si>
  <si>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</si>
  <si>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</si>
  <si>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</si>
  <si>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</si>
  <si>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</si>
  <si>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</si>
  <si>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</si>
  <si>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</si>
  <si>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</si>
  <si>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</si>
  <si>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</si>
  <si>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</si>
  <si>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</si>
  <si>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</si>
  <si>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</si>
  <si>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</si>
  <si>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</si>
  <si>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</si>
  <si>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</si>
  <si>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</si>
  <si>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</si>
  <si>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</si>
  <si>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</si>
  <si>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</si>
  <si>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</si>
  <si>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</si>
  <si>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</si>
  <si>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</si>
  <si>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</si>
  <si>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</si>
  <si>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</si>
  <si>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</si>
  <si>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</si>
  <si>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</si>
  <si>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</si>
  <si>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</si>
  <si>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</si>
  <si>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</si>
  <si>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</si>
  <si>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</si>
  <si>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</si>
  <si>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</si>
  <si>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</si>
  <si>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</si>
  <si>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</si>
  <si>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</si>
  <si>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</si>
  <si>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</si>
  <si>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</si>
  <si>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</si>
  <si>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</si>
  <si>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</si>
  <si>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</si>
  <si>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</si>
  <si>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</si>
  <si>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</si>
  <si>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</si>
  <si>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</si>
  <si>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</si>
  <si>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</si>
  <si>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</si>
  <si>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</si>
  <si>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</si>
  <si>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</si>
  <si>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</si>
  <si>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</si>
  <si>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</si>
  <si>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</si>
  <si>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</si>
  <si>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</si>
  <si>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</si>
  <si>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</si>
  <si>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</si>
  <si>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</si>
  <si>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</si>
  <si>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</si>
  <si>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</si>
  <si>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</si>
  <si>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</si>
  <si>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</si>
  <si>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</si>
  <si>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</si>
  <si>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</si>
  <si>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</si>
  <si>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</si>
  <si>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</si>
  <si>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</si>
  <si>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</si>
  <si>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</si>
  <si>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</si>
  <si>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</si>
  <si>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</si>
  <si>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</si>
  <si>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</si>
  <si>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</si>
  <si>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</si>
  <si>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</si>
  <si>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</si>
  <si>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</si>
  <si>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</si>
  <si>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</si>
  <si>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</si>
  <si>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</si>
  <si>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</si>
  <si>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</si>
  <si>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</si>
  <si>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</si>
  <si>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</si>
  <si>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</si>
  <si>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</si>
  <si>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</si>
  <si>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</si>
  <si>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</si>
  <si>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</si>
  <si>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</si>
  <si>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</si>
  <si>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</si>
  <si>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</si>
  <si>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</si>
  <si>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</si>
  <si>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</si>
  <si>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</si>
  <si>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</si>
  <si>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</si>
  <si>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</si>
  <si>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</si>
  <si>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</si>
  <si>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</si>
  <si>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</si>
  <si>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</si>
  <si>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</si>
  <si>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</si>
  <si>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</si>
  <si>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</si>
  <si>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</si>
  <si>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</si>
  <si>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</si>
  <si>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</si>
  <si>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</si>
  <si>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</si>
  <si>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</si>
  <si>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</si>
  <si>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</si>
  <si>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</si>
  <si>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</si>
  <si>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</si>
  <si>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</si>
  <si>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</si>
  <si>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</si>
  <si>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</si>
  <si>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</si>
  <si>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</si>
  <si>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</si>
  <si>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</si>
  <si>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</si>
  <si>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</si>
  <si>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</si>
  <si>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</si>
  <si>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</si>
  <si>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</si>
  <si>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</si>
  <si>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</si>
  <si>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</si>
  <si>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</si>
  <si>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</si>
  <si>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</si>
  <si>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</si>
  <si>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</si>
  <si>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</si>
  <si>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</si>
  <si>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</si>
  <si>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</si>
  <si>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</si>
  <si>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</si>
  <si>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</si>
  <si>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</si>
  <si>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</si>
  <si>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</si>
  <si>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</si>
  <si>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</si>
  <si>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</si>
  <si>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</si>
  <si>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</si>
  <si>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</si>
  <si>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</si>
  <si>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</si>
  <si>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</si>
  <si>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</si>
  <si>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</si>
  <si>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</si>
  <si>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</si>
  <si>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</si>
  <si>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</si>
  <si>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</si>
  <si>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</si>
  <si>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</si>
  <si>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</si>
  <si>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</si>
  <si>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</si>
  <si>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</si>
  <si>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</si>
  <si>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</si>
  <si>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</si>
  <si>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</si>
  <si>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</si>
  <si>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</si>
  <si>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</si>
  <si>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</si>
  <si>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</si>
  <si>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</si>
  <si>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</si>
  <si>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</si>
  <si>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</si>
  <si>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</si>
  <si>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</si>
  <si>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</si>
  <si>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</si>
  <si>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</si>
  <si>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</si>
  <si>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</si>
  <si>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</si>
  <si>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</si>
  <si>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</si>
  <si>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</si>
  <si>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</si>
  <si>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</si>
  <si>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</si>
  <si>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</si>
  <si>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</si>
  <si>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</si>
  <si>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</si>
  <si>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</si>
  <si>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</si>
  <si>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</si>
  <si>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</si>
  <si>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</si>
  <si>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</si>
  <si>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</si>
  <si>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</si>
  <si>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</si>
  <si>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</si>
  <si>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</si>
  <si>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</si>
  <si>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</si>
  <si>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</si>
  <si>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</si>
  <si>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</si>
  <si>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</si>
  <si>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</si>
  <si>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</si>
  <si>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</si>
  <si>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</si>
  <si>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</si>
  <si>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</si>
  <si>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</si>
  <si>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</si>
  <si>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</si>
  <si>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</si>
  <si>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</si>
  <si>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</si>
  <si>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</si>
  <si>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</si>
  <si>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</si>
  <si>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</si>
  <si>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</si>
  <si>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</si>
  <si>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</si>
  <si>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</si>
  <si>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</si>
  <si>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</si>
  <si>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</si>
  <si>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</si>
  <si>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</si>
  <si>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</si>
  <si>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</si>
  <si>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</si>
  <si>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</si>
  <si>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</si>
  <si>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</si>
  <si>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</si>
  <si>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</si>
  <si>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</si>
  <si>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</si>
  <si>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</si>
  <si>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</si>
  <si>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</si>
  <si>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</si>
  <si>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</si>
  <si>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</si>
  <si>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</si>
  <si>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</si>
  <si>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</si>
  <si>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</si>
  <si>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</si>
  <si>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</si>
  <si>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</si>
  <si>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</si>
  <si>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</si>
  <si>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</si>
  <si>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</si>
  <si>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</si>
  <si>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</si>
  <si>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</si>
  <si>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</si>
  <si>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</si>
  <si>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</si>
  <si>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</si>
  <si>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</si>
  <si>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</si>
  <si>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</si>
  <si>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</si>
  <si>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</si>
  <si>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</si>
  <si>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</si>
  <si>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</si>
  <si>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</si>
  <si>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</si>
  <si>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</si>
  <si>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</si>
  <si>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</si>
  <si>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</si>
  <si>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</si>
  <si>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</si>
  <si>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</si>
  <si>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</si>
  <si>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</si>
  <si>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</si>
  <si>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</si>
  <si>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</si>
  <si>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</si>
  <si>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</si>
  <si>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</si>
  <si>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</si>
  <si>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</si>
  <si>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</si>
  <si>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</si>
  <si>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</si>
  <si>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</si>
  <si>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</si>
  <si>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</si>
  <si>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</si>
  <si>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</si>
  <si>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</si>
  <si>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</si>
  <si>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</si>
  <si>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</si>
  <si>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</si>
  <si>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</si>
  <si>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</si>
  <si>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</si>
  <si>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</si>
  <si>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</si>
  <si>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</si>
  <si>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</si>
  <si>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</si>
  <si>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</si>
  <si>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</si>
  <si>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</si>
  <si>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</si>
  <si>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</si>
  <si>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</si>
  <si>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</si>
  <si>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</si>
  <si>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</si>
  <si>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</si>
  <si>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</si>
  <si>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</si>
  <si>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</si>
  <si>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</si>
  <si>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</si>
  <si>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</si>
  <si>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</si>
  <si>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</si>
  <si>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</si>
  <si>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</si>
  <si>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</si>
  <si>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</si>
  <si>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</si>
  <si>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</si>
  <si>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</si>
  <si>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</si>
  <si>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</si>
  <si>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</si>
  <si>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</si>
  <si>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</si>
  <si>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</si>
  <si>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</si>
  <si>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</si>
  <si>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</si>
  <si>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</si>
  <si>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</si>
  <si>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</si>
  <si>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</si>
  <si>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</si>
  <si>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</si>
  <si>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</si>
  <si>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</si>
  <si>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</si>
  <si>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</si>
  <si>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</si>
  <si>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</si>
  <si>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</si>
  <si>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</si>
  <si>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</si>
  <si>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</si>
  <si>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</si>
  <si>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</si>
  <si>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</si>
  <si>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</si>
  <si>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</si>
  <si>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</si>
  <si>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</si>
  <si>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</si>
  <si>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</si>
  <si>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</si>
  <si>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</si>
  <si>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</si>
  <si>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</si>
  <si>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</si>
  <si>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</si>
  <si>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</si>
  <si>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</si>
  <si>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</si>
  <si>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</si>
  <si>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</si>
  <si>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</si>
  <si>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</si>
  <si>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</si>
  <si>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</si>
  <si>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</si>
  <si>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</si>
  <si>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</si>
  <si>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</si>
  <si>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</si>
  <si>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</si>
  <si>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</si>
  <si>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</si>
  <si>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</si>
  <si>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</si>
  <si>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</si>
  <si>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</si>
  <si>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</si>
  <si>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</si>
  <si>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</si>
  <si>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</si>
  <si>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</si>
  <si>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</si>
  <si>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</si>
  <si>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</si>
  <si>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</si>
  <si>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</si>
  <si>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</si>
  <si>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</si>
  <si>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</si>
  <si>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</si>
  <si>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</si>
  <si>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</si>
  <si>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</si>
  <si>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</si>
  <si>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</si>
  <si>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</si>
  <si>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</si>
  <si>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</si>
  <si>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</si>
  <si>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</si>
  <si>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</si>
  <si>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</si>
  <si>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</si>
  <si>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</si>
  <si>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</si>
  <si>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</si>
  <si>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</si>
  <si>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</si>
  <si>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</si>
  <si>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</si>
  <si>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</si>
  <si>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</si>
  <si>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</si>
  <si>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</si>
  <si>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</si>
  <si>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</si>
  <si>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</si>
  <si>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</si>
  <si>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</si>
  <si>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</si>
  <si>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</si>
  <si>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</si>
  <si>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</si>
  <si>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</si>
  <si>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</si>
  <si>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</si>
  <si>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</si>
  <si>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</si>
  <si>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</si>
  <si>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</si>
  <si>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</si>
  <si>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</si>
  <si>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</si>
  <si>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</si>
  <si>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</si>
  <si>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</si>
  <si>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</si>
  <si>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</si>
  <si>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</si>
  <si>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</si>
  <si>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</si>
  <si>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</si>
  <si>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</si>
  <si>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</si>
  <si>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</si>
  <si>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</si>
  <si>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</si>
  <si>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</si>
  <si>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</si>
  <si>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</si>
  <si>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</si>
  <si>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</si>
  <si>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</si>
  <si>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</si>
  <si>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</si>
  <si>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</si>
  <si>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</si>
  <si>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</si>
  <si>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</si>
  <si>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</si>
  <si>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</si>
  <si>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</si>
  <si>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</si>
  <si>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</si>
  <si>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</si>
  <si>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</si>
  <si>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</si>
  <si>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</si>
  <si>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</si>
  <si>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</si>
  <si>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</si>
  <si>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</si>
  <si>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</si>
  <si>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</si>
  <si>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</si>
  <si>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</si>
  <si>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</si>
  <si>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</si>
  <si>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</si>
  <si>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</si>
  <si>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</si>
  <si>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</si>
  <si>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</si>
  <si>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</si>
  <si>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</si>
  <si>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</si>
  <si>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</si>
  <si>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</si>
  <si>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</si>
  <si>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</si>
  <si>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</si>
  <si>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</si>
  <si>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</si>
  <si>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</si>
  <si>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</si>
  <si>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</si>
  <si>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</si>
  <si>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</si>
  <si>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</si>
  <si>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</si>
  <si>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</si>
  <si>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</si>
  <si>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</si>
  <si>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</si>
  <si>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</si>
  <si>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</si>
  <si>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</si>
  <si>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</si>
  <si>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</si>
  <si>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</si>
  <si>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</si>
  <si>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</si>
  <si>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</si>
  <si>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</si>
  <si>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</si>
  <si>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</si>
  <si>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</si>
  <si>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</si>
  <si>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</si>
  <si>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</si>
  <si>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</si>
  <si>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</si>
  <si>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</si>
  <si>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</si>
  <si>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</si>
  <si>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</si>
  <si>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</si>
  <si>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</si>
  <si>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</si>
  <si>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</si>
  <si>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</si>
  <si>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</si>
  <si>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</si>
  <si>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</si>
  <si>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</si>
  <si>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</si>
  <si>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</si>
  <si>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</si>
  <si>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</si>
  <si>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</si>
  <si>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</si>
  <si>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</si>
  <si>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</si>
  <si>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</si>
  <si>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</si>
  <si>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</si>
  <si>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</si>
  <si>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</si>
  <si>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</si>
  <si>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</si>
  <si>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</si>
  <si>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</si>
  <si>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</si>
  <si>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</si>
  <si>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</si>
  <si>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</si>
  <si>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</si>
  <si>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</si>
  <si>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</si>
  <si>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</si>
  <si>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</si>
  <si>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</si>
  <si>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</si>
  <si>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</si>
  <si>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</si>
  <si>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</si>
  <si>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</si>
  <si>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</si>
  <si>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</si>
  <si>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</si>
  <si>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</si>
  <si>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</si>
  <si>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</si>
  <si>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</si>
  <si>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</si>
  <si>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</si>
  <si>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</si>
  <si>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</si>
  <si>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</si>
  <si>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</si>
  <si>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</si>
  <si>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</si>
  <si>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</si>
  <si>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</si>
  <si>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</si>
  <si>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</si>
  <si>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</si>
  <si>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</si>
  <si>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</si>
  <si>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</si>
  <si>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</si>
  <si>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</si>
  <si>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</si>
  <si>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</si>
  <si>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</si>
  <si>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</si>
  <si>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</si>
  <si>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</si>
  <si>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</si>
  <si>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</si>
  <si>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</si>
  <si>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</si>
  <si>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</si>
  <si>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</si>
  <si>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</si>
  <si>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</si>
  <si>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</si>
  <si>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</si>
  <si>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</si>
  <si>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</si>
  <si>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</si>
  <si>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</si>
  <si>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</si>
  <si>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</si>
  <si>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</si>
  <si>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</si>
  <si>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Santa Fe wrap</t>
  </si>
  <si>
    <t>Hatton chicken crunch with Asian brown rice</t>
  </si>
  <si>
    <t>Classic wedge pizza</t>
  </si>
  <si>
    <t>Spicy nachos</t>
  </si>
  <si>
    <t>Deli sub</t>
  </si>
  <si>
    <t>California blend</t>
  </si>
  <si>
    <t>Lettuce/tomato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</si>
</sst>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4"/>
      <color indexed="10"/>
      <name val="Calibri"/>
      <family val="2"/>
    </font>
    <font>
      <b/>
      <sz val="14"/>
      <color indexed="60"/>
      <name val="Calibri"/>
      <family val="2"/>
    </font>
    <font>
      <b/>
      <sz val="14"/>
      <color indexed="62"/>
      <name val="Calibri"/>
      <family val="2"/>
    </font>
    <font>
      <sz val="11"/>
      <color indexed="19"/>
      <name val="Calibri"/>
      <family val="2"/>
    </font>
    <font>
      <b/>
      <sz val="11"/>
      <color indexed="10"/>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9" fillId="0" borderId="22" xfId="53" applyFont="1" applyBorder="1" applyAlignment="1" applyProtection="1">
      <alignment horizontal="center" vertical="center"/>
      <protection locked="0"/>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6"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7" fillId="7" borderId="10" xfId="0" applyFont="1" applyFill="1" applyBorder="1" applyAlignment="1">
      <alignment horizontal="center" vertical="center"/>
    </xf>
    <xf numFmtId="0" fontId="138" fillId="2" borderId="10" xfId="0" applyFont="1" applyFill="1" applyBorder="1" applyAlignment="1">
      <alignment horizontal="center" vertical="center"/>
    </xf>
    <xf numFmtId="0" fontId="138" fillId="2" borderId="13" xfId="0" applyFont="1" applyFill="1" applyBorder="1" applyAlignment="1">
      <alignment horizontal="center" vertical="center"/>
    </xf>
    <xf numFmtId="0" fontId="138" fillId="2" borderId="10" xfId="0" applyFont="1" applyFill="1" applyBorder="1" applyAlignment="1" applyProtection="1">
      <alignment horizontal="center" vertical="center"/>
      <protection locked="0"/>
    </xf>
    <xf numFmtId="0" fontId="138" fillId="2" borderId="13"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protection locked="0"/>
    </xf>
    <xf numFmtId="0" fontId="139" fillId="4" borderId="10" xfId="0" applyFont="1" applyFill="1" applyBorder="1" applyAlignment="1" applyProtection="1">
      <alignment horizontal="center"/>
      <protection locked="0"/>
    </xf>
    <xf numFmtId="0" fontId="136"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7" fillId="7" borderId="10"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6"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7" fillId="7" borderId="14" xfId="0" applyFont="1" applyFill="1" applyBorder="1" applyAlignment="1" applyProtection="1">
      <alignment horizontal="center" vertical="center"/>
      <protection locked="0"/>
    </xf>
    <xf numFmtId="0" fontId="138" fillId="2" borderId="14" xfId="0" applyFont="1" applyFill="1" applyBorder="1" applyAlignment="1" applyProtection="1">
      <alignment horizontal="center" vertical="center"/>
      <protection locked="0"/>
    </xf>
    <xf numFmtId="0" fontId="138"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vertical="center"/>
      <protection locked="0"/>
    </xf>
    <xf numFmtId="0" fontId="139" fillId="4" borderId="10" xfId="0" applyFont="1" applyFill="1" applyBorder="1" applyAlignment="1" applyProtection="1">
      <alignment horizontal="center" vertical="center"/>
      <protection locked="0"/>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8" fillId="2" borderId="23" xfId="0" applyFont="1" applyFill="1" applyBorder="1" applyAlignment="1">
      <alignment horizontal="center" vertical="center"/>
    </xf>
    <xf numFmtId="0" fontId="138" fillId="2" borderId="33" xfId="0" applyFont="1" applyFill="1" applyBorder="1" applyAlignment="1">
      <alignment horizontal="center" vertical="center"/>
    </xf>
    <xf numFmtId="0" fontId="138" fillId="2" borderId="65" xfId="0" applyFont="1" applyFill="1" applyBorder="1" applyAlignment="1">
      <alignment horizontal="center" vertical="center"/>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110" fillId="2" borderId="31"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09" fillId="0" borderId="64" xfId="53" applyFont="1" applyBorder="1" applyAlignment="1" applyProtection="1">
      <alignment horizontal="center" wrapText="1"/>
      <protection locked="0"/>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60" xfId="0" applyBorder="1" applyAlignment="1">
      <alignment horizontal="center" vertical="center"/>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29" xfId="0" applyBorder="1" applyAlignment="1">
      <alignment horizontal="center" vertical="center"/>
    </xf>
    <xf numFmtId="0" fontId="93" fillId="44" borderId="36" xfId="0" applyFont="1" applyFill="1" applyBorder="1" applyAlignment="1" applyProtection="1">
      <alignment horizontal="center" vertical="center" wrapText="1"/>
      <protection hidden="1"/>
    </xf>
    <xf numFmtId="0" fontId="93" fillId="44"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0" borderId="10" xfId="0" applyFont="1" applyBorder="1" applyAlignment="1">
      <alignment horizontal="center" vertical="center"/>
    </xf>
    <xf numFmtId="0" fontId="109" fillId="0" borderId="64" xfId="53" applyFont="1" applyFill="1" applyBorder="1" applyAlignment="1" applyProtection="1">
      <alignment horizontal="center" vertical="center"/>
      <protection locked="0"/>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93"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K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517</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447</v>
      </c>
      <c r="T4" s="981"/>
      <c r="U4" s="981"/>
      <c r="V4" s="981"/>
      <c r="W4" s="981"/>
      <c r="X4" s="981"/>
      <c r="Y4" s="981"/>
      <c r="Z4" s="982"/>
      <c r="AB4" s="985" t="s">
        <v>747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263</v>
      </c>
      <c r="AC5" s="474"/>
      <c r="AD5" s="474"/>
      <c r="AE5" s="993" t="s">
        <v>64</v>
      </c>
      <c r="AF5" s="475"/>
      <c r="AG5" s="475"/>
      <c r="AH5" s="976" t="s">
        <v>264</v>
      </c>
      <c r="AI5" s="476"/>
      <c r="AJ5" s="476"/>
      <c r="AK5" s="976" t="s">
        <v>64</v>
      </c>
      <c r="AL5" s="475"/>
      <c r="AM5" s="475"/>
      <c r="AN5" s="979" t="s">
        <v>265</v>
      </c>
      <c r="AO5" s="477"/>
      <c r="AP5" s="477"/>
      <c r="AQ5" s="979" t="s">
        <v>64</v>
      </c>
      <c r="AR5" s="475"/>
      <c r="AS5" s="475"/>
      <c r="AT5" s="896" t="s">
        <v>266</v>
      </c>
      <c r="AU5" s="478"/>
      <c r="AV5" s="478"/>
      <c r="AW5" s="896" t="s">
        <v>64</v>
      </c>
      <c r="AX5" s="475"/>
      <c r="AY5" s="475"/>
      <c r="AZ5" s="897" t="s">
        <v>267</v>
      </c>
      <c r="BA5" s="479"/>
      <c r="BB5" s="480"/>
      <c r="BC5" s="975" t="s">
        <v>64</v>
      </c>
      <c r="BD5" s="894">
        <v>5</v>
      </c>
      <c r="BE5" s="895">
        <f>INDEX(Cups,BD5)</f>
        <v>0.5</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5</v>
      </c>
      <c r="B7" s="513" t="str">
        <f>INDEX(meals,A7)</f>
        <v>Spicy nachos</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308</v>
      </c>
      <c r="AC7" s="959"/>
      <c r="AD7" s="959"/>
      <c r="AE7" s="961"/>
      <c r="AF7" s="887">
        <v>1</v>
      </c>
      <c r="AG7" s="889">
        <f>INDEX(Cups,AF7)</f>
        <v>0</v>
      </c>
      <c r="AH7" s="955" t="s">
        <v>309</v>
      </c>
      <c r="AI7" s="957"/>
      <c r="AJ7" s="957"/>
      <c r="AK7" s="955"/>
      <c r="AL7" s="887">
        <v>3</v>
      </c>
      <c r="AM7" s="889">
        <f>INDEX(Cups,AL7)</f>
        <v>0.25</v>
      </c>
      <c r="AN7" s="885" t="s">
        <v>310</v>
      </c>
      <c r="AO7" s="874"/>
      <c r="AP7" s="874"/>
      <c r="AQ7" s="885"/>
      <c r="AR7" s="887">
        <v>3</v>
      </c>
      <c r="AS7" s="889">
        <f>INDEX(Cups,AR7)</f>
        <v>0.25</v>
      </c>
      <c r="AT7" s="890" t="s">
        <v>311</v>
      </c>
      <c r="AU7" s="876"/>
      <c r="AV7" s="876"/>
      <c r="AW7" s="876"/>
      <c r="AX7" s="887">
        <v>1</v>
      </c>
      <c r="AY7" s="889">
        <f>INDEX(Cups,AX7)</f>
        <v>0</v>
      </c>
      <c r="AZ7" s="892" t="s">
        <v>312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2</v>
      </c>
      <c r="AP10" s="255" t="str">
        <f aca="true" t="shared" si="10" ref="AP10:AP19">INDEX(BEANS,AO10)</f>
        <v>Black beans </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A1">
      <pane ySplit="6" topLeftCell="BM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268</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448</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37</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449</v>
      </c>
      <c r="T4" s="981"/>
      <c r="U4" s="981"/>
      <c r="V4" s="981"/>
      <c r="W4" s="981"/>
      <c r="X4" s="981"/>
      <c r="Y4" s="981"/>
      <c r="Z4" s="982"/>
      <c r="AB4" s="985" t="s">
        <v>748</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269</v>
      </c>
      <c r="AC5" s="474"/>
      <c r="AD5" s="474"/>
      <c r="AE5" s="993" t="s">
        <v>64</v>
      </c>
      <c r="AF5" s="475"/>
      <c r="AG5" s="475"/>
      <c r="AH5" s="976" t="s">
        <v>270</v>
      </c>
      <c r="AI5" s="476"/>
      <c r="AJ5" s="476"/>
      <c r="AK5" s="976" t="s">
        <v>64</v>
      </c>
      <c r="AL5" s="475"/>
      <c r="AM5" s="475"/>
      <c r="AN5" s="979" t="s">
        <v>271</v>
      </c>
      <c r="AO5" s="477"/>
      <c r="AP5" s="477"/>
      <c r="AQ5" s="979" t="s">
        <v>64</v>
      </c>
      <c r="AR5" s="475"/>
      <c r="AS5" s="475"/>
      <c r="AT5" s="896" t="s">
        <v>272</v>
      </c>
      <c r="AU5" s="478"/>
      <c r="AV5" s="478"/>
      <c r="AW5" s="896" t="s">
        <v>64</v>
      </c>
      <c r="AX5" s="475"/>
      <c r="AY5" s="475"/>
      <c r="AZ5" s="897" t="s">
        <v>273</v>
      </c>
      <c r="BA5" s="479"/>
      <c r="BB5" s="480"/>
      <c r="BC5" s="975" t="s">
        <v>64</v>
      </c>
      <c r="BD5" s="894">
        <v>5</v>
      </c>
      <c r="BE5" s="895">
        <f>INDEX(Cups,BD5)</f>
        <v>0.5</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6</v>
      </c>
      <c r="B7" s="513" t="str">
        <f>INDEX(meals,A7)</f>
        <v>Deli sub</v>
      </c>
      <c r="C7" s="519">
        <v>1</v>
      </c>
      <c r="D7" s="96"/>
      <c r="E7" s="215">
        <f>IF(B7=0,"",FLOOR(VLOOKUP(A7,'All Meals'!$A$12:$V$61,4),0.25))</f>
        <v>3</v>
      </c>
      <c r="F7" s="216" t="str">
        <f>IF(B7=0,"",IF(E7="","No",IF(E7&gt;=2,"Yes","No")))</f>
        <v>Yes</v>
      </c>
      <c r="G7" s="215">
        <f>IF(B7=0,"",FLOOR(VLOOKUP(A7,'All Meals'!$A$12:$V$61,5),0.25))</f>
        <v>2.5</v>
      </c>
      <c r="H7" s="217" t="str">
        <f>IF(B7=0,"",IF(G7="","No",IF(G7&gt;=2,"Yes","No")))</f>
        <v>Yes</v>
      </c>
      <c r="I7" s="297">
        <f>IF(B7=0,"",FLOOR(VLOOKUP(A7,'All Meals'!$A$12:$V$61,6),0.25))</f>
        <v>0</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303</v>
      </c>
      <c r="AC7" s="959"/>
      <c r="AD7" s="959"/>
      <c r="AE7" s="961"/>
      <c r="AF7" s="887">
        <v>3</v>
      </c>
      <c r="AG7" s="889">
        <f>INDEX(Cups,AF7)</f>
        <v>0.25</v>
      </c>
      <c r="AH7" s="955" t="s">
        <v>304</v>
      </c>
      <c r="AI7" s="957"/>
      <c r="AJ7" s="957"/>
      <c r="AK7" s="955"/>
      <c r="AL7" s="887">
        <v>3</v>
      </c>
      <c r="AM7" s="889">
        <f>INDEX(Cups,AL7)</f>
        <v>0.25</v>
      </c>
      <c r="AN7" s="885" t="s">
        <v>305</v>
      </c>
      <c r="AO7" s="874"/>
      <c r="AP7" s="874"/>
      <c r="AQ7" s="885"/>
      <c r="AR7" s="887">
        <v>1</v>
      </c>
      <c r="AS7" s="889">
        <f>INDEX(Cups,AR7)</f>
        <v>0</v>
      </c>
      <c r="AT7" s="890" t="s">
        <v>306</v>
      </c>
      <c r="AU7" s="876"/>
      <c r="AV7" s="876"/>
      <c r="AW7" s="876"/>
      <c r="AX7" s="887">
        <v>1</v>
      </c>
      <c r="AY7" s="889">
        <f>INDEX(Cups,AX7)</f>
        <v>0</v>
      </c>
      <c r="AZ7" s="892" t="s">
        <v>307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3</v>
      </c>
      <c r="AG10" s="334">
        <f aca="true" t="shared" si="7" ref="AG10:AG19">IF(AD10=0,"",INDEX(Cups,AF10))</f>
        <v>0.25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11</v>
      </c>
      <c r="BB10" s="258" t="str">
        <f aca="true" t="shared" si="13" ref="BB10:BB19">INDEX(OTHER,BA10)</f>
        <v>Cauliflower/broccoflower </v>
      </c>
      <c r="BC10" s="259"/>
      <c r="BD10" s="85">
        <v>3</v>
      </c>
      <c r="BE10" s="85">
        <f aca="true" t="shared" si="14" ref="BE10:BE19">IF(BB10=0,"",INDEX(Cups,BD10))</f>
        <v>0.25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36</v>
      </c>
      <c r="BB11" s="105" t="str">
        <f t="shared" si="13"/>
        <v>Other unspecified</v>
      </c>
      <c r="BC11" s="106"/>
      <c r="BD11" s="85">
        <v>3</v>
      </c>
      <c r="BE11" s="85">
        <f t="shared" si="14"/>
        <v>0.25</v>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t="s">
        <v>801</v>
      </c>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5" t="s">
        <v>249</v>
      </c>
      <c r="B1" s="1046"/>
      <c r="C1" s="1046"/>
      <c r="D1" s="1046"/>
      <c r="E1" s="1046"/>
      <c r="F1" s="1046"/>
      <c r="G1" s="1046"/>
      <c r="H1" s="1046"/>
      <c r="I1" s="1047"/>
    </row>
    <row r="2" spans="1:17" ht="44.25" customHeight="1" thickBot="1">
      <c r="A2" s="1048"/>
      <c r="B2" s="1049"/>
      <c r="C2" s="1049"/>
      <c r="D2" s="1049"/>
      <c r="E2" s="1049"/>
      <c r="F2" s="1049"/>
      <c r="G2" s="1049"/>
      <c r="H2" s="1049"/>
      <c r="I2" s="1050"/>
      <c r="M2" s="337"/>
      <c r="N2" s="1051" t="s">
        <v>325</v>
      </c>
      <c r="O2" s="1052"/>
      <c r="P2" s="1052"/>
      <c r="Q2" s="1053"/>
    </row>
    <row r="3" ht="15" thickBot="1"/>
    <row r="4" spans="1:21" ht="52.5" customHeight="1" thickBot="1">
      <c r="A4" s="287" t="s">
        <v>169</v>
      </c>
      <c r="B4" s="298" t="s">
        <v>16</v>
      </c>
      <c r="C4" s="500" t="s">
        <v>34</v>
      </c>
      <c r="D4" s="499" t="s">
        <v>35</v>
      </c>
      <c r="E4" s="499" t="s">
        <v>36</v>
      </c>
      <c r="F4" s="499" t="s">
        <v>37</v>
      </c>
      <c r="G4" s="299" t="s">
        <v>39</v>
      </c>
      <c r="H4" s="295" t="s">
        <v>45</v>
      </c>
      <c r="I4" s="296" t="s">
        <v>38</v>
      </c>
      <c r="L4" s="1038" t="s">
        <v>104</v>
      </c>
      <c r="M4" s="1039"/>
      <c r="N4" s="1036" t="s">
        <v>100</v>
      </c>
      <c r="O4" s="1036"/>
      <c r="P4" s="1036" t="s">
        <v>101</v>
      </c>
      <c r="Q4" s="1036"/>
      <c r="R4" s="1073" t="s">
        <v>102</v>
      </c>
      <c r="S4" s="1074"/>
      <c r="T4" s="1071" t="s">
        <v>103</v>
      </c>
      <c r="U4" s="1072"/>
    </row>
    <row r="5" spans="1:21" ht="30" customHeight="1" thickBot="1">
      <c r="A5" s="300" t="s">
        <v>46</v>
      </c>
      <c r="B5" s="301">
        <f>MIN(Monday!K7:K26)</f>
        <v>1</v>
      </c>
      <c r="C5" s="301">
        <f>MIN(Tuesday!K7:K26)</f>
        <v>1</v>
      </c>
      <c r="D5" s="301">
        <f>MIN(Wednesday!K7:K26)</f>
        <v>1</v>
      </c>
      <c r="E5" s="301">
        <f>MIN(Thursday!K7:K26)</f>
        <v>1</v>
      </c>
      <c r="F5" s="301">
        <f>MIN(Friday!K7:K26)</f>
        <v>1</v>
      </c>
      <c r="G5" s="368">
        <f>SUM(B5:F5)</f>
        <v>5</v>
      </c>
      <c r="H5" s="150">
        <v>5</v>
      </c>
      <c r="I5" s="120" t="str">
        <f>IF(G5&gt;=H5,"Yes","No")</f>
        <v>Yes</v>
      </c>
      <c r="L5" s="1040"/>
      <c r="M5" s="1041"/>
      <c r="N5" s="1037">
        <f>S6</f>
        <v>5</v>
      </c>
      <c r="O5" s="1037"/>
      <c r="P5" s="1037">
        <f>S7</f>
        <v>0.5</v>
      </c>
      <c r="Q5" s="1037"/>
      <c r="R5" s="1067">
        <f>IF(ISERROR(P5/N5),0,P5/N5)</f>
        <v>0.1</v>
      </c>
      <c r="S5" s="1067"/>
      <c r="T5" s="1069" t="str">
        <f>IF(R5&lt;=0.5,"Yes","No")</f>
        <v>Yes</v>
      </c>
      <c r="U5" s="1070"/>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v>
      </c>
      <c r="S6" s="379">
        <f>SUM(N6:R6)</f>
        <v>5</v>
      </c>
      <c r="T6" s="359"/>
      <c r="U6" s="359"/>
    </row>
    <row r="7" spans="1:21" ht="30" customHeight="1" hidden="1">
      <c r="A7" s="356"/>
      <c r="B7" s="357"/>
      <c r="C7" s="357"/>
      <c r="D7" s="357"/>
      <c r="E7" s="357"/>
      <c r="F7" s="357"/>
      <c r="G7" s="358"/>
      <c r="H7" s="359"/>
      <c r="I7" s="359"/>
      <c r="L7" s="360"/>
      <c r="M7" s="360" t="s">
        <v>330</v>
      </c>
      <c r="N7" s="142">
        <f>MAX(Monday!M7:M26)</f>
        <v>0</v>
      </c>
      <c r="O7" s="142">
        <f>MAX(Tuesday!M7:M26)</f>
        <v>0.5</v>
      </c>
      <c r="P7" s="142">
        <f>MAX(Wednesday!M7:M26)</f>
        <v>0</v>
      </c>
      <c r="Q7" s="142">
        <f>MAX(Thursday!M7:M26)</f>
        <v>0</v>
      </c>
      <c r="R7" s="142">
        <f>MAX(Friday!M7:M26)</f>
        <v>0</v>
      </c>
      <c r="S7" s="380">
        <f>SUM(N7:R7)</f>
        <v>0.5</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5" t="s">
        <v>779</v>
      </c>
      <c r="M9" s="1056"/>
      <c r="N9" s="1068" t="s">
        <v>550</v>
      </c>
      <c r="O9" s="1068"/>
      <c r="P9" s="1068" t="s">
        <v>551</v>
      </c>
      <c r="Q9" s="1068"/>
      <c r="R9" s="1075" t="s">
        <v>552</v>
      </c>
      <c r="S9" s="1076"/>
      <c r="T9" s="1071" t="s">
        <v>103</v>
      </c>
      <c r="U9" s="1072"/>
      <c r="V9" s="125"/>
    </row>
    <row r="10" spans="1:22" ht="30.75" customHeight="1" thickBot="1">
      <c r="A10" s="130" t="s">
        <v>40</v>
      </c>
      <c r="B10" s="131">
        <f>MIN(Monday!N7:N26)</f>
        <v>1.5</v>
      </c>
      <c r="C10" s="131">
        <f>MIN(Tuesday!N7:N26)</f>
        <v>1.25</v>
      </c>
      <c r="D10" s="131">
        <f>MIN(Wednesday!N7:N26)</f>
        <v>1.375</v>
      </c>
      <c r="E10" s="131">
        <f>MIN(Thursday!N7:N26)</f>
        <v>1</v>
      </c>
      <c r="F10" s="131">
        <f>MIN(Friday!N7:N26)</f>
        <v>1</v>
      </c>
      <c r="G10" s="132">
        <f aca="true" t="shared" si="0" ref="G10:G17">SUM(B10:F10)</f>
        <v>6.125</v>
      </c>
      <c r="H10" s="133">
        <v>5</v>
      </c>
      <c r="I10" s="134" t="str">
        <f aca="true" t="shared" si="1" ref="I10:I17">IF(G10&gt;=H10,"Yes","No")</f>
        <v>Yes</v>
      </c>
      <c r="L10" s="1057"/>
      <c r="M10" s="1058"/>
      <c r="N10" s="1037">
        <f>S11</f>
        <v>6.125</v>
      </c>
      <c r="O10" s="1037"/>
      <c r="P10" s="1037">
        <f>S12</f>
        <v>0</v>
      </c>
      <c r="Q10" s="1037"/>
      <c r="R10" s="1067">
        <f>IF(ISERROR(P10/N10),0,P10/N10)</f>
        <v>0</v>
      </c>
      <c r="S10" s="1067"/>
      <c r="T10" s="1069" t="str">
        <f>IF(R10&lt;=0.5,"Yes","No")</f>
        <v>Yes</v>
      </c>
      <c r="U10" s="1070"/>
      <c r="V10" s="125"/>
    </row>
    <row r="11" spans="1:22" ht="30.75" customHeight="1" hidden="1">
      <c r="A11" s="484"/>
      <c r="B11" s="485"/>
      <c r="C11" s="485"/>
      <c r="D11" s="485"/>
      <c r="E11" s="485"/>
      <c r="F11" s="485"/>
      <c r="G11" s="486"/>
      <c r="H11" s="487"/>
      <c r="I11" s="488"/>
      <c r="L11" s="360"/>
      <c r="M11" s="360"/>
      <c r="N11" s="137">
        <f>MAX(Monday!N7:N26)</f>
        <v>1.5</v>
      </c>
      <c r="O11" s="137">
        <f>MAX(Tuesday!N7:N26)</f>
        <v>1.25</v>
      </c>
      <c r="P11" s="137">
        <f>MAX(Wednesday!N7:N26)</f>
        <v>1.375</v>
      </c>
      <c r="Q11" s="137">
        <f>MAX(Thursday!N7:N26)</f>
        <v>1</v>
      </c>
      <c r="R11" s="137">
        <f>MAX(Friday!N7:N26)</f>
        <v>1</v>
      </c>
      <c r="S11" s="379">
        <f>SUM(N11:R11)</f>
        <v>6.125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0.25</v>
      </c>
      <c r="C13" s="136">
        <f>IF(Tuesday!AR3=TRUE,SUM('Optional VegBar'!G16,Tuesday!AG7),Tuesday!AG7)</f>
        <v>0.625</v>
      </c>
      <c r="D13" s="136">
        <f>IF(Wednesday!AR3=TRUE,SUM('Optional VegBar'!G16,Wednesday!AG7),Wednesday!AG7)</f>
        <v>0</v>
      </c>
      <c r="E13" s="136">
        <f>IF(Thursday!AR3=TRUE,SUM('Optional VegBar'!G16,Thursday!AG7),Thursday!AG7)</f>
        <v>0</v>
      </c>
      <c r="F13" s="136">
        <f>IF(Friday!AR3=TRUE,SUM('Optional VegBar'!G16,Friday!AG7),Friday!AG7)</f>
        <v>0.25</v>
      </c>
      <c r="G13" s="137">
        <f t="shared" si="0"/>
        <v>1.125</v>
      </c>
      <c r="H13" s="138">
        <v>0.5</v>
      </c>
      <c r="I13" s="139" t="str">
        <f t="shared" si="1"/>
        <v>Yes</v>
      </c>
      <c r="L13" s="1054" t="s">
        <v>602</v>
      </c>
      <c r="M13" s="1054"/>
      <c r="N13" s="1054"/>
      <c r="O13" s="1054"/>
      <c r="P13" s="1054"/>
      <c r="Q13" s="1054"/>
      <c r="R13" s="1054"/>
      <c r="S13" s="1054"/>
      <c r="T13" s="1054"/>
      <c r="U13" s="1054"/>
      <c r="V13" s="483"/>
    </row>
    <row r="14" spans="1:22" ht="33" customHeight="1" thickTop="1">
      <c r="A14" s="140" t="s">
        <v>467</v>
      </c>
      <c r="B14" s="141">
        <f>IF(Monday!AR3=TRUE,SUM('Optional VegBar'!M16,Monday!AM7),Monday!AM7)</f>
        <v>0.75</v>
      </c>
      <c r="C14" s="141">
        <f>IF(Tuesday!AR3=TRUE,SUM('Optional VegBar'!M16,Tuesday!AM7),Tuesday!AM7)</f>
        <v>0.125</v>
      </c>
      <c r="D14" s="141">
        <f>IF(Wednesday!AR3=TRUE,SUM('Optional VegBar'!M16,Wednesday!AM7),Wednesday!AM7)</f>
        <v>0.125</v>
      </c>
      <c r="E14" s="141">
        <f>IF(Thursday!AR3=TRUE,SUM('Optional VegBar'!M16,Thursday!AM7),Thursday!AM7)</f>
        <v>0.25</v>
      </c>
      <c r="F14" s="141">
        <f>IF(Friday!AR3=TRUE,SUM('Optional VegBar'!M16,Friday!AM7),Friday!AM7)</f>
        <v>0.25</v>
      </c>
      <c r="G14" s="142">
        <f t="shared" si="0"/>
        <v>1.5</v>
      </c>
      <c r="H14" s="117">
        <v>1.25</v>
      </c>
      <c r="I14" s="118" t="str">
        <f t="shared" si="1"/>
        <v>Yes</v>
      </c>
      <c r="L14" s="1059"/>
      <c r="M14" s="1060"/>
      <c r="N14" s="1060"/>
      <c r="O14" s="1060"/>
      <c r="P14" s="1060"/>
      <c r="Q14" s="1060"/>
      <c r="R14" s="1060"/>
      <c r="S14" s="1060"/>
      <c r="T14" s="1060"/>
      <c r="U14" s="1061"/>
      <c r="V14" s="338"/>
    </row>
    <row r="15" spans="1:22" ht="38.25" customHeight="1">
      <c r="A15" s="140" t="s">
        <v>468</v>
      </c>
      <c r="B15" s="141">
        <f>IF(Monday!AR3=TRUE,SUM('Optional VegBar'!S16,Monday!AS7),Monday!AS7)</f>
        <v>0.25</v>
      </c>
      <c r="C15" s="141">
        <f>IF(Tuesday!AR3=TRUE,SUM('Optional VegBar'!S16,Tuesday!AS7),Tuesday!AS7)</f>
        <v>0</v>
      </c>
      <c r="D15" s="141">
        <f>IF(Wednesday!AR3=TRUE,SUM('Optional VegBar'!S16,Wednesday!AS7),Wednesday!AS7)</f>
        <v>0</v>
      </c>
      <c r="E15" s="141">
        <f>IF(Thursday!AR3=TRUE,SUM('Optional VegBar'!S16,Thursday!AS7),Thursday!AS7)</f>
        <v>0.25</v>
      </c>
      <c r="F15" s="141">
        <f>IF(Friday!AR3=TRUE,SUM('Optional VegBar'!S16,Friday!AS7),Friday!AS7)</f>
        <v>0</v>
      </c>
      <c r="G15" s="142">
        <f t="shared" si="0"/>
        <v>0.5</v>
      </c>
      <c r="H15" s="117">
        <v>0.5</v>
      </c>
      <c r="I15" s="118" t="str">
        <f t="shared" si="1"/>
        <v>Yes</v>
      </c>
      <c r="L15" s="1062"/>
      <c r="M15" s="894"/>
      <c r="N15" s="894"/>
      <c r="O15" s="894"/>
      <c r="P15" s="894"/>
      <c r="Q15" s="894"/>
      <c r="R15" s="894"/>
      <c r="S15" s="894"/>
      <c r="T15" s="894"/>
      <c r="U15" s="1063"/>
      <c r="V15" s="338"/>
    </row>
    <row r="16" spans="1:22" ht="35.25" customHeight="1">
      <c r="A16" s="140" t="s">
        <v>469</v>
      </c>
      <c r="B16" s="141">
        <f>IF(Monday!AR3=TRUE,SUM('Optional VegBar'!Y16,Monday!AY7),Monday!AY7)</f>
        <v>0.25</v>
      </c>
      <c r="C16" s="141">
        <f>IF(Tuesday!AR3=TRUE,SUM('Optional VegBar'!Y16,Tuesday!AY7),Tuesday!AY7)</f>
        <v>0.5</v>
      </c>
      <c r="D16" s="141">
        <f>IF(Wednesday!AR3=TRUE,SUM('Optional VegBar'!Y16,Wednesday!AY7),Wednesday!AY7)</f>
        <v>0.75</v>
      </c>
      <c r="E16" s="141">
        <f>IF(Thursday!AR3=TRUE,SUM('Optional VegBar'!Y16,Thursday!AY7),Thursday!AY7)</f>
        <v>0</v>
      </c>
      <c r="F16" s="141">
        <f>IF(Friday!AR3=TRUE,SUM('Optional VegBar'!Y16,Friday!AY7),Friday!AY7)</f>
        <v>0</v>
      </c>
      <c r="G16" s="142">
        <f t="shared" si="0"/>
        <v>1.5</v>
      </c>
      <c r="H16" s="117">
        <v>0.5</v>
      </c>
      <c r="I16" s="118" t="str">
        <f t="shared" si="1"/>
        <v>Yes</v>
      </c>
      <c r="L16" s="1062"/>
      <c r="M16" s="894"/>
      <c r="N16" s="894"/>
      <c r="O16" s="894"/>
      <c r="P16" s="894"/>
      <c r="Q16" s="894"/>
      <c r="R16" s="894"/>
      <c r="S16" s="894"/>
      <c r="T16" s="894"/>
      <c r="U16" s="1063"/>
      <c r="V16" s="338"/>
    </row>
    <row r="17" spans="1:22" ht="48.75" customHeight="1" thickBot="1">
      <c r="A17" s="143" t="s">
        <v>470</v>
      </c>
      <c r="B17" s="144">
        <f>IF(Monday!AR3=TRUE,SUM('Optional VegBar'!AE16,Monday!BE5),Monday!BE5)</f>
        <v>0</v>
      </c>
      <c r="C17" s="144">
        <f>IF(Tuesday!AR3=TRUE,SUM('Optional VegBar'!AE16,Tuesday!BE5),Tuesday!BE5)</f>
        <v>0</v>
      </c>
      <c r="D17" s="144">
        <f>IF(Wednesday!AR3=TRUE,SUM('Optional VegBar'!AE16,Wednesday!BE5),Wednesday!BE5)</f>
        <v>0.5</v>
      </c>
      <c r="E17" s="144">
        <f>IF(Thursday!AR3=TRUE,SUM('Optional VegBar'!AE16,Thursday!BE5),Thursday!BE5)</f>
        <v>0.5</v>
      </c>
      <c r="F17" s="144">
        <f>IF(Friday!AR3=TRUE,SUM('Optional VegBar'!AE16,Friday!BE5),Friday!BE5)</f>
        <v>0.5</v>
      </c>
      <c r="G17" s="382">
        <f t="shared" si="0"/>
        <v>1.5</v>
      </c>
      <c r="H17" s="119">
        <v>0.75</v>
      </c>
      <c r="I17" s="120" t="str">
        <f t="shared" si="1"/>
        <v>Yes</v>
      </c>
      <c r="L17" s="1062"/>
      <c r="M17" s="894"/>
      <c r="N17" s="894"/>
      <c r="O17" s="894"/>
      <c r="P17" s="894"/>
      <c r="Q17" s="894"/>
      <c r="R17" s="894"/>
      <c r="S17" s="894"/>
      <c r="T17" s="894"/>
      <c r="U17" s="1063"/>
      <c r="V17" s="338"/>
    </row>
    <row r="18" spans="1:22" s="146" customFormat="1" ht="7.5" customHeight="1" thickBot="1">
      <c r="A18" s="145"/>
      <c r="B18" s="123"/>
      <c r="C18" s="123"/>
      <c r="D18" s="123"/>
      <c r="E18" s="123"/>
      <c r="F18" s="123"/>
      <c r="G18" s="123"/>
      <c r="H18" s="123"/>
      <c r="I18" s="124"/>
      <c r="L18" s="1062"/>
      <c r="M18" s="894"/>
      <c r="N18" s="894"/>
      <c r="O18" s="894"/>
      <c r="P18" s="894"/>
      <c r="Q18" s="894"/>
      <c r="R18" s="894"/>
      <c r="S18" s="894"/>
      <c r="T18" s="894"/>
      <c r="U18" s="1063"/>
      <c r="V18" s="338"/>
    </row>
    <row r="19" spans="2:22" ht="45.75" thickBot="1">
      <c r="B19" s="126" t="s">
        <v>16</v>
      </c>
      <c r="C19" s="501" t="s">
        <v>34</v>
      </c>
      <c r="D19" s="501" t="s">
        <v>35</v>
      </c>
      <c r="E19" s="501" t="s">
        <v>36</v>
      </c>
      <c r="F19" s="501" t="s">
        <v>37</v>
      </c>
      <c r="G19" s="127" t="s">
        <v>39</v>
      </c>
      <c r="H19" s="128" t="s">
        <v>97</v>
      </c>
      <c r="I19" s="129" t="s">
        <v>38</v>
      </c>
      <c r="L19" s="1062"/>
      <c r="M19" s="894"/>
      <c r="N19" s="894"/>
      <c r="O19" s="894"/>
      <c r="P19" s="894"/>
      <c r="Q19" s="894"/>
      <c r="R19" s="894"/>
      <c r="S19" s="894"/>
      <c r="T19" s="894"/>
      <c r="U19" s="1063"/>
      <c r="V19" s="338"/>
    </row>
    <row r="20" spans="1:22" ht="36" customHeight="1">
      <c r="A20" s="163" t="s">
        <v>43</v>
      </c>
      <c r="B20" s="291">
        <f>MIN(Monday!E7:E26)</f>
        <v>2</v>
      </c>
      <c r="C20" s="291">
        <f>MIN(Tuesday!E7:E26)</f>
        <v>2</v>
      </c>
      <c r="D20" s="291">
        <f>MIN(Wednesday!E7:E26)</f>
        <v>2</v>
      </c>
      <c r="E20" s="291">
        <f>MIN(Thursday!E7:E26)</f>
        <v>3</v>
      </c>
      <c r="F20" s="291">
        <f>MIN(Friday!E7:E26)</f>
        <v>3</v>
      </c>
      <c r="G20" s="289">
        <f>SUM(B20:F20)</f>
        <v>12</v>
      </c>
      <c r="H20" s="148">
        <v>10</v>
      </c>
      <c r="I20" s="139" t="str">
        <f>IF(G20&gt;=H20,"Yes","No")</f>
        <v>Yes</v>
      </c>
      <c r="L20" s="1062"/>
      <c r="M20" s="894"/>
      <c r="N20" s="894"/>
      <c r="O20" s="894"/>
      <c r="P20" s="894"/>
      <c r="Q20" s="894"/>
      <c r="R20" s="894"/>
      <c r="S20" s="894"/>
      <c r="T20" s="894"/>
      <c r="U20" s="1063"/>
      <c r="V20" s="338"/>
    </row>
    <row r="21" spans="1:22" ht="36" customHeight="1" thickBot="1">
      <c r="A21" s="164" t="s">
        <v>44</v>
      </c>
      <c r="B21" s="292">
        <f>MAX(Monday!E7:E26)</f>
        <v>2</v>
      </c>
      <c r="C21" s="292">
        <f>MAX(Tuesday!E7:E26)</f>
        <v>2</v>
      </c>
      <c r="D21" s="292">
        <f>MAX(Wednesday!E7:E26)</f>
        <v>2</v>
      </c>
      <c r="E21" s="292">
        <f>MAX(Thursday!E7:E26)</f>
        <v>3</v>
      </c>
      <c r="F21" s="292">
        <f>MAX(Friday!E7:E26)</f>
        <v>3</v>
      </c>
      <c r="G21" s="290">
        <f>SUM(B21:F21)</f>
        <v>12</v>
      </c>
      <c r="H21" s="150">
        <v>12</v>
      </c>
      <c r="I21" s="120" t="str">
        <f>IF(G21=0,"No",IF(AND(G21&lt;=H21,G21&gt;=H20),"Yes","No"))</f>
        <v>Yes</v>
      </c>
      <c r="L21" s="1064"/>
      <c r="M21" s="1065"/>
      <c r="N21" s="1065"/>
      <c r="O21" s="1065"/>
      <c r="P21" s="1065"/>
      <c r="Q21" s="1065"/>
      <c r="R21" s="1065"/>
      <c r="S21" s="1065"/>
      <c r="T21" s="1065"/>
      <c r="U21" s="1066"/>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2.5</v>
      </c>
      <c r="D24" s="288">
        <f>MIN(Wednesday!G7:G26)</f>
        <v>2.25</v>
      </c>
      <c r="E24" s="288">
        <f>MIN(Thursday!G7:G26)</f>
        <v>2.5</v>
      </c>
      <c r="F24" s="288">
        <f>MIN(Friday!G7:G26)</f>
        <v>2.5</v>
      </c>
      <c r="G24" s="289">
        <f>SUM(B24:F24)</f>
        <v>11.75</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2.5</v>
      </c>
      <c r="D25" s="288">
        <f>MAX(Wednesday!G7:G26)</f>
        <v>2.25</v>
      </c>
      <c r="E25" s="288">
        <f>MAX(Thursday!G7:G26)</f>
        <v>2.5</v>
      </c>
      <c r="F25" s="288">
        <f>MAX(Friday!G7:G26)</f>
        <v>2.5</v>
      </c>
      <c r="G25" s="290">
        <f>SUM(B25:F25)</f>
        <v>11.75</v>
      </c>
      <c r="H25" s="150">
        <v>12</v>
      </c>
      <c r="I25" s="120" t="str">
        <f>IF(G25=0,"No",IF(AND(G25&lt;=H25,G25&gt;=H24),"Yes","No"))</f>
        <v>Yes</v>
      </c>
      <c r="M25" s="381"/>
      <c r="N25" s="381"/>
      <c r="O25" s="381"/>
      <c r="P25" s="381"/>
      <c r="Q25" s="381"/>
      <c r="R25" s="381"/>
      <c r="S25" s="381"/>
      <c r="T25" s="381"/>
      <c r="U25" s="381"/>
      <c r="V25" s="381"/>
    </row>
    <row r="26" spans="1:22" ht="32.25" customHeight="1" thickBot="1">
      <c r="A26" s="1042" t="s">
        <v>47</v>
      </c>
      <c r="B26" s="1043"/>
      <c r="C26" s="1043"/>
      <c r="D26" s="1043"/>
      <c r="E26" s="1043"/>
      <c r="F26" s="1044"/>
      <c r="G26" s="186">
        <f>SUM(B27:F27)</f>
        <v>1</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1</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11.75</v>
      </c>
      <c r="D28" s="155" t="s">
        <v>95</v>
      </c>
      <c r="E28" s="188">
        <f>SUM(Monday:Friday!I7:I26)</f>
        <v>6.75</v>
      </c>
      <c r="F28" s="156" t="s">
        <v>94</v>
      </c>
      <c r="G28" s="330">
        <f>IF(ISERROR(E28/C28),0,E28/C28)</f>
        <v>0.574468085106383</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2" t="s">
        <v>91</v>
      </c>
      <c r="B1" s="1093"/>
      <c r="C1" s="1093"/>
      <c r="D1" s="1093"/>
      <c r="E1" s="1093"/>
      <c r="F1" s="1093"/>
      <c r="G1" s="1093"/>
      <c r="H1" s="1093"/>
      <c r="I1" s="1093"/>
      <c r="J1" s="1094"/>
    </row>
    <row r="2" spans="1:10" ht="23.25" customHeight="1" thickBot="1">
      <c r="A2" s="1085" t="s">
        <v>169</v>
      </c>
      <c r="B2" s="1085"/>
      <c r="C2" s="1085"/>
      <c r="D2" s="1085"/>
      <c r="E2" s="1085"/>
      <c r="F2" s="1085"/>
      <c r="G2" s="1085"/>
      <c r="H2" s="1085"/>
      <c r="I2" s="1085"/>
      <c r="J2" s="1085"/>
    </row>
    <row r="3" spans="1:10" s="207" customFormat="1" ht="33.75" customHeight="1" thickBot="1">
      <c r="A3" s="1095" t="s">
        <v>16</v>
      </c>
      <c r="B3" s="1096"/>
      <c r="C3" s="1095" t="s">
        <v>34</v>
      </c>
      <c r="D3" s="1096"/>
      <c r="E3" s="1095" t="s">
        <v>35</v>
      </c>
      <c r="F3" s="1096"/>
      <c r="G3" s="1095" t="s">
        <v>36</v>
      </c>
      <c r="H3" s="1096"/>
      <c r="I3" s="1095" t="s">
        <v>37</v>
      </c>
      <c r="J3" s="1096"/>
    </row>
    <row r="4" spans="1:10" ht="33.75" customHeight="1" thickBot="1">
      <c r="A4" s="1083" t="s">
        <v>84</v>
      </c>
      <c r="B4" s="1084"/>
      <c r="C4" s="1083" t="s">
        <v>84</v>
      </c>
      <c r="D4" s="1084"/>
      <c r="E4" s="1083" t="s">
        <v>84</v>
      </c>
      <c r="F4" s="1084"/>
      <c r="G4" s="1083" t="s">
        <v>84</v>
      </c>
      <c r="H4" s="1084"/>
      <c r="I4" s="1083" t="s">
        <v>84</v>
      </c>
      <c r="J4" s="1084"/>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86" t="s">
        <v>85</v>
      </c>
      <c r="B15" s="1087"/>
      <c r="C15" s="1086" t="s">
        <v>85</v>
      </c>
      <c r="D15" s="1087"/>
      <c r="E15" s="1086" t="s">
        <v>85</v>
      </c>
      <c r="F15" s="1087"/>
      <c r="G15" s="1086" t="s">
        <v>85</v>
      </c>
      <c r="H15" s="1087"/>
      <c r="I15" s="1086" t="s">
        <v>85</v>
      </c>
      <c r="J15" s="1087"/>
    </row>
    <row r="16" spans="1:10" s="67" customFormat="1" ht="39" customHeight="1">
      <c r="A16" s="1088" t="s">
        <v>86</v>
      </c>
      <c r="B16" s="1089"/>
      <c r="C16" s="1088" t="s">
        <v>86</v>
      </c>
      <c r="D16" s="1089"/>
      <c r="E16" s="1088" t="s">
        <v>86</v>
      </c>
      <c r="F16" s="1089"/>
      <c r="G16" s="1088" t="s">
        <v>86</v>
      </c>
      <c r="H16" s="1089"/>
      <c r="I16" s="1088" t="s">
        <v>86</v>
      </c>
      <c r="J16" s="1089"/>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90" t="s">
        <v>87</v>
      </c>
      <c r="B22" s="1091"/>
      <c r="C22" s="1090" t="s">
        <v>87</v>
      </c>
      <c r="D22" s="1091"/>
      <c r="E22" s="1090" t="s">
        <v>87</v>
      </c>
      <c r="F22" s="1091"/>
      <c r="G22" s="1090" t="s">
        <v>87</v>
      </c>
      <c r="H22" s="1091"/>
      <c r="I22" s="1090" t="s">
        <v>87</v>
      </c>
      <c r="J22" s="1091"/>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1" t="s">
        <v>88</v>
      </c>
      <c r="B28" s="1082"/>
      <c r="C28" s="1081" t="s">
        <v>88</v>
      </c>
      <c r="D28" s="1082"/>
      <c r="E28" s="1081" t="s">
        <v>88</v>
      </c>
      <c r="F28" s="1082"/>
      <c r="G28" s="1081" t="s">
        <v>88</v>
      </c>
      <c r="H28" s="1082"/>
      <c r="I28" s="1081" t="s">
        <v>88</v>
      </c>
      <c r="J28" s="1082"/>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77" t="s">
        <v>89</v>
      </c>
      <c r="B34" s="1078"/>
      <c r="C34" s="1077" t="s">
        <v>89</v>
      </c>
      <c r="D34" s="1078"/>
      <c r="E34" s="1077" t="s">
        <v>89</v>
      </c>
      <c r="F34" s="1078"/>
      <c r="G34" s="1077" t="s">
        <v>89</v>
      </c>
      <c r="H34" s="1078"/>
      <c r="I34" s="1077" t="s">
        <v>89</v>
      </c>
      <c r="J34" s="1078"/>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79" t="s">
        <v>90</v>
      </c>
      <c r="B40" s="1080"/>
      <c r="C40" s="1079" t="s">
        <v>90</v>
      </c>
      <c r="D40" s="1080"/>
      <c r="E40" s="1079" t="s">
        <v>90</v>
      </c>
      <c r="F40" s="1080"/>
      <c r="G40" s="1079" t="s">
        <v>90</v>
      </c>
      <c r="H40" s="1080"/>
      <c r="I40" s="1079" t="s">
        <v>90</v>
      </c>
      <c r="J40" s="1080"/>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02" t="s">
        <v>18</v>
      </c>
      <c r="C1" s="1115"/>
      <c r="D1" s="1115"/>
      <c r="E1" s="1115"/>
      <c r="F1" s="1115"/>
      <c r="G1" s="1115"/>
      <c r="H1" s="1115"/>
      <c r="I1" s="1115"/>
      <c r="J1" s="1115"/>
      <c r="K1" s="1115"/>
      <c r="L1" s="1115"/>
      <c r="M1" s="1115"/>
      <c r="N1" s="1115"/>
      <c r="O1" s="1115"/>
      <c r="P1" s="1115"/>
      <c r="Q1" s="1115"/>
      <c r="R1" s="1116"/>
    </row>
    <row r="2" spans="2:50" ht="51.75" customHeight="1" thickBot="1">
      <c r="B2" s="1117" t="s">
        <v>33</v>
      </c>
      <c r="C2" s="1117"/>
      <c r="D2" s="1117"/>
      <c r="E2" s="1117"/>
      <c r="F2" s="1117"/>
      <c r="G2" s="1117"/>
      <c r="H2" s="1117"/>
      <c r="I2" s="1117"/>
      <c r="J2" s="1117"/>
      <c r="K2" s="1117"/>
      <c r="L2" s="1117"/>
      <c r="M2" s="1117"/>
      <c r="N2" s="1117"/>
      <c r="O2" s="1117"/>
      <c r="P2" s="1117"/>
      <c r="Q2" s="1117"/>
      <c r="R2" s="1117"/>
      <c r="S2" s="1117"/>
      <c r="AB2" s="1118" t="s">
        <v>81</v>
      </c>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2:50" ht="19.5" customHeight="1" thickBot="1">
      <c r="B3" s="1121" t="s">
        <v>16</v>
      </c>
      <c r="C3" s="1122"/>
      <c r="D3" s="1122"/>
      <c r="E3" s="1122"/>
      <c r="F3" s="1122"/>
      <c r="G3" s="1122"/>
      <c r="H3" s="1122"/>
      <c r="I3" s="1122"/>
      <c r="J3" s="1122"/>
      <c r="K3" s="1122"/>
      <c r="L3" s="1122"/>
      <c r="M3" s="1122"/>
      <c r="N3" s="1122"/>
      <c r="O3" s="1122"/>
      <c r="P3" s="1122"/>
      <c r="Q3" s="1122"/>
      <c r="R3" s="1123"/>
      <c r="AB3" s="1124" t="s">
        <v>59</v>
      </c>
      <c r="AC3" s="42"/>
      <c r="AD3" s="1126" t="s">
        <v>64</v>
      </c>
      <c r="AE3" s="43"/>
      <c r="AF3" s="43"/>
      <c r="AG3" s="1128" t="s">
        <v>63</v>
      </c>
      <c r="AH3" s="54"/>
      <c r="AI3" s="1128" t="s">
        <v>64</v>
      </c>
      <c r="AJ3" s="43"/>
      <c r="AK3" s="43"/>
      <c r="AL3" s="1130" t="s">
        <v>60</v>
      </c>
      <c r="AM3" s="55"/>
      <c r="AN3" s="1130" t="s">
        <v>64</v>
      </c>
      <c r="AO3" s="43"/>
      <c r="AP3" s="43"/>
      <c r="AQ3" s="1097" t="s">
        <v>61</v>
      </c>
      <c r="AR3" s="56"/>
      <c r="AS3" s="1097" t="s">
        <v>64</v>
      </c>
      <c r="AT3" s="43"/>
      <c r="AU3" s="43"/>
      <c r="AV3" s="1099" t="s">
        <v>62</v>
      </c>
      <c r="AW3" s="44"/>
      <c r="AX3" s="1101" t="s">
        <v>64</v>
      </c>
    </row>
    <row r="4" spans="2:52" ht="35.25" customHeight="1">
      <c r="B4" s="26" t="s">
        <v>66</v>
      </c>
      <c r="C4" s="1103" t="s">
        <v>1</v>
      </c>
      <c r="D4" s="1104"/>
      <c r="E4" s="1104"/>
      <c r="F4" s="1104"/>
      <c r="G4" s="1104"/>
      <c r="H4" s="1104"/>
      <c r="I4" s="1104"/>
      <c r="J4" s="1105"/>
      <c r="K4" s="1106" t="s">
        <v>15</v>
      </c>
      <c r="L4" s="1107"/>
      <c r="M4" s="758" t="s">
        <v>2</v>
      </c>
      <c r="N4" s="760"/>
      <c r="O4" s="1108" t="s">
        <v>24</v>
      </c>
      <c r="P4" s="1109"/>
      <c r="Q4" s="1110" t="s">
        <v>3</v>
      </c>
      <c r="R4" s="1111"/>
      <c r="S4" s="1112" t="s">
        <v>31</v>
      </c>
      <c r="T4" s="1113"/>
      <c r="U4" s="1113"/>
      <c r="V4" s="1113"/>
      <c r="W4" s="1113"/>
      <c r="X4" s="1113"/>
      <c r="Y4" s="1113"/>
      <c r="Z4" s="1114"/>
      <c r="AB4" s="1125"/>
      <c r="AC4" s="34" t="s">
        <v>65</v>
      </c>
      <c r="AD4" s="1127"/>
      <c r="AE4" s="35" t="s">
        <v>67</v>
      </c>
      <c r="AF4" s="35" t="s">
        <v>68</v>
      </c>
      <c r="AG4" s="1129"/>
      <c r="AH4" s="57" t="s">
        <v>71</v>
      </c>
      <c r="AI4" s="1129"/>
      <c r="AJ4" s="35" t="s">
        <v>69</v>
      </c>
      <c r="AK4" s="35" t="s">
        <v>70</v>
      </c>
      <c r="AL4" s="1131"/>
      <c r="AM4" s="58" t="s">
        <v>72</v>
      </c>
      <c r="AN4" s="1131"/>
      <c r="AO4" s="35" t="s">
        <v>73</v>
      </c>
      <c r="AP4" s="35" t="s">
        <v>74</v>
      </c>
      <c r="AQ4" s="1098"/>
      <c r="AR4" s="59" t="s">
        <v>75</v>
      </c>
      <c r="AS4" s="1098"/>
      <c r="AT4" s="35" t="s">
        <v>76</v>
      </c>
      <c r="AU4" s="35" t="s">
        <v>77</v>
      </c>
      <c r="AV4" s="1100"/>
      <c r="AW4" s="36" t="s">
        <v>78</v>
      </c>
      <c r="AX4" s="1102"/>
      <c r="AY4" s="23" t="s">
        <v>79</v>
      </c>
      <c r="AZ4" s="23" t="s">
        <v>80</v>
      </c>
    </row>
    <row r="5" spans="2:52" ht="34.5" customHeight="1">
      <c r="B5" s="1142" t="s">
        <v>0</v>
      </c>
      <c r="C5" s="748" t="s">
        <v>4</v>
      </c>
      <c r="D5" s="971" t="s">
        <v>19</v>
      </c>
      <c r="E5" s="1146" t="s">
        <v>13</v>
      </c>
      <c r="F5" s="32"/>
      <c r="G5" s="32"/>
      <c r="H5" s="32"/>
      <c r="I5" s="32"/>
      <c r="J5" s="967" t="s">
        <v>52</v>
      </c>
      <c r="K5" s="727" t="s">
        <v>9</v>
      </c>
      <c r="L5" s="967" t="s">
        <v>20</v>
      </c>
      <c r="M5" s="1016" t="s">
        <v>32</v>
      </c>
      <c r="N5" s="967" t="s">
        <v>21</v>
      </c>
      <c r="O5" s="965" t="s">
        <v>25</v>
      </c>
      <c r="P5" s="967" t="s">
        <v>23</v>
      </c>
      <c r="Q5" s="1135" t="s">
        <v>10</v>
      </c>
      <c r="R5" s="969" t="s">
        <v>22</v>
      </c>
      <c r="S5" s="948" t="s">
        <v>26</v>
      </c>
      <c r="T5" s="949"/>
      <c r="U5" s="949"/>
      <c r="V5" s="949"/>
      <c r="W5" s="24"/>
      <c r="X5" s="24" t="b">
        <v>0</v>
      </c>
      <c r="Y5" s="25"/>
      <c r="Z5" s="114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43"/>
      <c r="C6" s="1144"/>
      <c r="D6" s="1145"/>
      <c r="E6" s="1147"/>
      <c r="F6" s="33"/>
      <c r="G6" s="33" t="s">
        <v>14</v>
      </c>
      <c r="H6" s="33"/>
      <c r="I6" s="33"/>
      <c r="J6" s="1137"/>
      <c r="K6" s="1138"/>
      <c r="L6" s="1137"/>
      <c r="M6" s="1139"/>
      <c r="N6" s="1137"/>
      <c r="O6" s="1140"/>
      <c r="P6" s="1137"/>
      <c r="Q6" s="1136"/>
      <c r="R6" s="1134"/>
      <c r="S6" s="948" t="s">
        <v>27</v>
      </c>
      <c r="T6" s="949"/>
      <c r="U6" s="949"/>
      <c r="V6" s="949"/>
      <c r="W6" s="24"/>
      <c r="X6" s="24" t="b">
        <v>0</v>
      </c>
      <c r="Y6" s="25"/>
      <c r="Z6" s="114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8" t="s">
        <v>28</v>
      </c>
      <c r="T7" s="949"/>
      <c r="U7" s="949"/>
      <c r="V7" s="949"/>
      <c r="W7" s="24"/>
      <c r="X7" s="24" t="b">
        <v>0</v>
      </c>
      <c r="Y7" s="25"/>
      <c r="Z7" s="114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8" t="s">
        <v>29</v>
      </c>
      <c r="T8" s="949"/>
      <c r="U8" s="949"/>
      <c r="V8" s="949"/>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32" t="s">
        <v>30</v>
      </c>
      <c r="T9" s="1133"/>
      <c r="U9" s="1133"/>
      <c r="V9" s="1133"/>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188" t="s">
        <v>297</v>
      </c>
      <c r="B1" s="1115"/>
      <c r="C1" s="1115"/>
      <c r="D1" s="1115"/>
      <c r="E1" s="1115"/>
      <c r="F1" s="1115"/>
      <c r="G1" s="1115"/>
      <c r="H1" s="1115"/>
      <c r="I1" s="1115"/>
      <c r="J1" s="1115"/>
      <c r="K1" s="1115"/>
      <c r="L1" s="1115"/>
      <c r="M1" s="1115"/>
      <c r="N1" s="1115"/>
      <c r="O1" s="1115"/>
      <c r="P1" s="1115"/>
      <c r="Q1" s="1115"/>
      <c r="R1" s="1115"/>
      <c r="S1" s="1115"/>
      <c r="T1" s="1115"/>
      <c r="U1" s="1115"/>
      <c r="V1" s="1115"/>
      <c r="W1" s="1115"/>
      <c r="X1" s="1116"/>
      <c r="Y1" s="551"/>
    </row>
    <row r="2" spans="1:25" s="206" customFormat="1" ht="54" customHeight="1" thickBot="1">
      <c r="A2" s="1299" t="s">
        <v>168</v>
      </c>
      <c r="B2" s="1300"/>
      <c r="C2" s="1300"/>
      <c r="D2" s="1300"/>
      <c r="E2" s="1300"/>
      <c r="F2" s="1300"/>
      <c r="G2" s="1300"/>
      <c r="H2" s="1300"/>
      <c r="I2" s="1300"/>
      <c r="J2" s="1300"/>
      <c r="K2" s="1300"/>
      <c r="L2" s="1300"/>
      <c r="M2" s="1284" t="s">
        <v>625</v>
      </c>
      <c r="N2" s="1284"/>
      <c r="O2" s="1284"/>
      <c r="P2" s="1284"/>
      <c r="Q2" s="458"/>
      <c r="R2" s="458"/>
      <c r="S2" s="458"/>
      <c r="T2" s="458"/>
      <c r="U2" s="1326" t="s">
        <v>619</v>
      </c>
      <c r="V2" s="1326"/>
      <c r="W2" s="1284" t="s">
        <v>296</v>
      </c>
      <c r="X2" s="1284"/>
      <c r="Y2" s="1284"/>
    </row>
    <row r="3" spans="1:31" s="23" customFormat="1" ht="24.75" customHeight="1" thickBot="1">
      <c r="A3" s="1155" t="s">
        <v>680</v>
      </c>
      <c r="B3" s="1156"/>
      <c r="C3" s="1156"/>
      <c r="D3" s="1156"/>
      <c r="E3" s="1156"/>
      <c r="F3" s="1156"/>
      <c r="G3" s="1156"/>
      <c r="H3" s="1156"/>
      <c r="I3" s="1157"/>
      <c r="J3" s="204"/>
      <c r="K3" s="204"/>
      <c r="M3" s="1155" t="s">
        <v>511</v>
      </c>
      <c r="N3" s="1156"/>
      <c r="O3" s="1156"/>
      <c r="P3" s="1156"/>
      <c r="Q3" s="1157"/>
      <c r="R3" s="208"/>
      <c r="S3" s="208"/>
      <c r="U3" s="1155" t="s">
        <v>512</v>
      </c>
      <c r="V3" s="1156"/>
      <c r="W3" s="1156"/>
      <c r="X3" s="1157"/>
      <c r="AE3" s="201"/>
    </row>
    <row r="4" spans="1:31" s="23" customFormat="1" ht="49.5" customHeight="1" thickBot="1">
      <c r="A4" s="1158" t="s">
        <v>624</v>
      </c>
      <c r="B4" s="1158"/>
      <c r="C4" s="1158"/>
      <c r="D4" s="1158"/>
      <c r="E4" s="1158"/>
      <c r="F4" s="1158"/>
      <c r="G4" s="1158"/>
      <c r="H4" s="1158"/>
      <c r="I4" s="1158"/>
      <c r="J4" s="196"/>
      <c r="K4" s="196"/>
      <c r="M4" s="1158" t="s">
        <v>657</v>
      </c>
      <c r="N4" s="1158"/>
      <c r="O4" s="1158"/>
      <c r="P4" s="1158"/>
      <c r="Q4" s="1158"/>
      <c r="R4" s="205"/>
      <c r="S4" s="205"/>
      <c r="U4" s="1158" t="s">
        <v>790</v>
      </c>
      <c r="V4" s="1158"/>
      <c r="W4" s="1158"/>
      <c r="X4" s="1158"/>
      <c r="AE4" s="201"/>
    </row>
    <row r="5" spans="1:24" s="201" customFormat="1" ht="12.75" customHeight="1" thickBot="1">
      <c r="A5" s="1199"/>
      <c r="B5" s="1199"/>
      <c r="C5" s="1199"/>
      <c r="D5" s="1199"/>
      <c r="E5" s="1199"/>
      <c r="F5" s="1199"/>
      <c r="G5" s="1199"/>
      <c r="H5" s="1199"/>
      <c r="I5" s="1199"/>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00"/>
      <c r="B6" s="1200"/>
      <c r="C6" s="1200"/>
      <c r="D6" s="1200"/>
      <c r="E6" s="1200"/>
      <c r="F6" s="1200"/>
      <c r="G6" s="1200"/>
      <c r="H6" s="1200"/>
      <c r="I6" s="1200"/>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3" t="s">
        <v>478</v>
      </c>
      <c r="AC6" s="1234"/>
      <c r="AD6" s="1234"/>
      <c r="AE6" s="1234"/>
      <c r="AF6" s="1234"/>
      <c r="AG6" s="1234"/>
      <c r="AH6" s="1234"/>
      <c r="AI6" s="1235"/>
      <c r="AK6" s="1269" t="s">
        <v>248</v>
      </c>
      <c r="AL6" s="1270"/>
      <c r="AM6" s="1270"/>
      <c r="AN6" s="1270"/>
      <c r="AO6" s="1270"/>
      <c r="AP6" s="1270"/>
      <c r="AQ6" s="1271"/>
    </row>
    <row r="7" spans="1:43" ht="27.75" customHeight="1" thickBot="1">
      <c r="A7" s="1193" t="s">
        <v>4</v>
      </c>
      <c r="B7" s="1194"/>
      <c r="C7" s="1194"/>
      <c r="D7" s="1194"/>
      <c r="E7" s="1194"/>
      <c r="F7" s="1194"/>
      <c r="G7" s="1194"/>
      <c r="H7" s="1194"/>
      <c r="I7" s="1195"/>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44" t="s">
        <v>496</v>
      </c>
      <c r="AC7" s="1245"/>
      <c r="AD7" s="1245"/>
      <c r="AE7" s="1245"/>
      <c r="AF7" s="1245"/>
      <c r="AG7" s="1245"/>
      <c r="AH7" s="1245"/>
      <c r="AI7" s="1246"/>
      <c r="AK7" s="1272"/>
      <c r="AL7" s="1273"/>
      <c r="AM7" s="1273"/>
      <c r="AN7" s="1273"/>
      <c r="AO7" s="1273"/>
      <c r="AP7" s="1273"/>
      <c r="AQ7" s="1274"/>
    </row>
    <row r="8" spans="1:43" ht="47.25" customHeight="1">
      <c r="A8" s="185" t="s">
        <v>121</v>
      </c>
      <c r="B8" s="190"/>
      <c r="C8" s="190"/>
      <c r="D8" s="190"/>
      <c r="E8" s="281">
        <f>IF(ISERROR(AVERAGE('All Meals'!J12:J62)),0,AVERAGE('All Meals'!J12:J62))</f>
        <v>1</v>
      </c>
      <c r="F8" s="184" t="s">
        <v>122</v>
      </c>
      <c r="G8" s="542"/>
      <c r="H8" s="542"/>
      <c r="I8" s="194">
        <f>'Weekly Report'!G5</f>
        <v>5</v>
      </c>
      <c r="J8" s="196"/>
      <c r="K8" s="196"/>
      <c r="M8" s="691" t="str">
        <f>IF('All Meals'!C13="","",'All Meals'!C13)</f>
        <v>Santa Fe wrap</v>
      </c>
      <c r="N8" s="692"/>
      <c r="O8" s="693"/>
      <c r="P8" s="693"/>
      <c r="Q8" s="693"/>
      <c r="R8" s="694">
        <f>O8*Q8</f>
        <v>0</v>
      </c>
      <c r="S8" s="694">
        <f>P8*Q8</f>
        <v>0</v>
      </c>
      <c r="T8" s="695"/>
      <c r="U8" s="696"/>
      <c r="V8" s="696"/>
      <c r="W8" s="696"/>
      <c r="X8" s="696"/>
      <c r="Y8" s="201">
        <f aca="true" t="shared" si="0" ref="Y8:Y39">V8*X8</f>
        <v>0</v>
      </c>
      <c r="Z8" s="201">
        <f aca="true" t="shared" si="1" ref="Z8:Z39">W8*X8</f>
        <v>0</v>
      </c>
      <c r="AB8" s="1249" t="s">
        <v>476</v>
      </c>
      <c r="AC8" s="1250"/>
      <c r="AD8" s="1250"/>
      <c r="AE8" s="1250"/>
      <c r="AF8" s="414">
        <v>1</v>
      </c>
      <c r="AG8" s="414">
        <f>INDEX(cups1,AF8)</f>
        <v>0</v>
      </c>
      <c r="AH8" s="1247"/>
      <c r="AI8" s="1248"/>
      <c r="AK8" s="912" t="s">
        <v>238</v>
      </c>
      <c r="AL8" s="913"/>
      <c r="AM8" s="913"/>
      <c r="AN8" s="414">
        <v>1</v>
      </c>
      <c r="AO8" s="414">
        <f>INDEX(Cups,AN8)</f>
        <v>0</v>
      </c>
      <c r="AP8" s="1275"/>
      <c r="AQ8" s="1276"/>
    </row>
    <row r="9" spans="1:43" s="23" customFormat="1" ht="47.25" customHeight="1">
      <c r="A9" s="1301" t="s">
        <v>622</v>
      </c>
      <c r="B9" s="1302"/>
      <c r="C9" s="1302"/>
      <c r="D9" s="1302"/>
      <c r="E9" s="1303"/>
      <c r="F9" s="1304" t="s">
        <v>623</v>
      </c>
      <c r="G9" s="1305"/>
      <c r="H9" s="1305"/>
      <c r="I9" s="1306"/>
      <c r="J9" s="202"/>
      <c r="K9" s="202"/>
      <c r="M9" s="691" t="str">
        <f>IF('All Meals'!C14="","",'All Meals'!C14)</f>
        <v>Hatton chicken crunch with Asian brown rice</v>
      </c>
      <c r="N9" s="692"/>
      <c r="O9" s="693"/>
      <c r="P9" s="693"/>
      <c r="Q9" s="693"/>
      <c r="R9" s="694">
        <f>O9*Q9</f>
        <v>0</v>
      </c>
      <c r="S9" s="694">
        <f>P9*Q9</f>
        <v>0</v>
      </c>
      <c r="T9" s="695"/>
      <c r="U9" s="693"/>
      <c r="V9" s="693"/>
      <c r="W9" s="693"/>
      <c r="X9" s="693"/>
      <c r="Y9" s="201">
        <f t="shared" si="0"/>
        <v>0</v>
      </c>
      <c r="Z9" s="201">
        <f t="shared" si="1"/>
        <v>0</v>
      </c>
      <c r="AB9" s="1249" t="s">
        <v>477</v>
      </c>
      <c r="AC9" s="1250"/>
      <c r="AD9" s="1250"/>
      <c r="AE9" s="1250"/>
      <c r="AF9" s="414">
        <v>1</v>
      </c>
      <c r="AG9" s="414">
        <f>INDEX(cups1,AF9)</f>
        <v>0</v>
      </c>
      <c r="AH9" s="1247"/>
      <c r="AI9" s="1248"/>
      <c r="AK9" s="912"/>
      <c r="AL9" s="913"/>
      <c r="AM9" s="913"/>
      <c r="AN9" s="414">
        <v>1</v>
      </c>
      <c r="AO9" s="414">
        <f>INDEX(Cups,AN9)</f>
        <v>0</v>
      </c>
      <c r="AP9" s="1277"/>
      <c r="AQ9" s="1278"/>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Classic wedge pizza</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249" t="s">
        <v>484</v>
      </c>
      <c r="AC10" s="1250"/>
      <c r="AD10" s="1250"/>
      <c r="AE10" s="1250"/>
      <c r="AF10" s="427"/>
      <c r="AG10" s="427"/>
      <c r="AH10" s="1251"/>
      <c r="AI10" s="1252"/>
      <c r="AK10" s="912"/>
      <c r="AL10" s="913"/>
      <c r="AM10" s="913"/>
      <c r="AN10" s="414">
        <v>1</v>
      </c>
      <c r="AO10" s="414">
        <f>INDEX(Cups,AN10)</f>
        <v>0</v>
      </c>
      <c r="AP10" s="1277"/>
      <c r="AQ10" s="1278"/>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Spicy nachos</v>
      </c>
      <c r="N11" s="692"/>
      <c r="O11" s="698"/>
      <c r="P11" s="698"/>
      <c r="Q11" s="698"/>
      <c r="R11" s="694">
        <f t="shared" si="2"/>
        <v>0</v>
      </c>
      <c r="S11" s="694">
        <f t="shared" si="3"/>
        <v>0</v>
      </c>
      <c r="T11" s="695"/>
      <c r="U11" s="693"/>
      <c r="V11" s="698"/>
      <c r="W11" s="698"/>
      <c r="X11" s="698"/>
      <c r="Y11" s="201">
        <f t="shared" si="0"/>
        <v>0</v>
      </c>
      <c r="Z11" s="201">
        <f t="shared" si="1"/>
        <v>0</v>
      </c>
      <c r="AB11" s="1249"/>
      <c r="AC11" s="1250"/>
      <c r="AD11" s="1250"/>
      <c r="AE11" s="1250"/>
      <c r="AF11" s="427"/>
      <c r="AG11" s="427"/>
      <c r="AH11" s="1251"/>
      <c r="AI11" s="1252"/>
      <c r="AK11" s="912"/>
      <c r="AL11" s="913"/>
      <c r="AM11" s="913"/>
      <c r="AN11" s="414">
        <v>1</v>
      </c>
      <c r="AO11" s="414">
        <f>INDEX(Cups,AN11)</f>
        <v>0</v>
      </c>
      <c r="AP11" s="1277"/>
      <c r="AQ11" s="1278"/>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Deli sub</v>
      </c>
      <c r="N12" s="692"/>
      <c r="O12" s="698"/>
      <c r="P12" s="698"/>
      <c r="Q12" s="698"/>
      <c r="R12" s="694">
        <f t="shared" si="2"/>
        <v>0</v>
      </c>
      <c r="S12" s="694">
        <f t="shared" si="3"/>
        <v>0</v>
      </c>
      <c r="T12" s="695"/>
      <c r="U12" s="693"/>
      <c r="V12" s="698"/>
      <c r="W12" s="698"/>
      <c r="X12" s="698"/>
      <c r="Y12" s="201">
        <f t="shared" si="0"/>
        <v>0</v>
      </c>
      <c r="Z12" s="201">
        <f t="shared" si="1"/>
        <v>0</v>
      </c>
      <c r="AB12" s="1249" t="s">
        <v>495</v>
      </c>
      <c r="AC12" s="1250"/>
      <c r="AD12" s="1250"/>
      <c r="AE12" s="1250"/>
      <c r="AF12" s="332"/>
      <c r="AG12" s="332"/>
      <c r="AH12" s="1253">
        <f>ROUND(IF(ISERROR((AH10*AG8)/AG9),0,(AH10*AG8)/AG9),2)</f>
        <v>0</v>
      </c>
      <c r="AI12" s="1254"/>
      <c r="AK12" s="912"/>
      <c r="AL12" s="913"/>
      <c r="AM12" s="913"/>
      <c r="AN12" s="414">
        <v>1</v>
      </c>
      <c r="AO12" s="414">
        <f>INDEX(Cups,AN12)</f>
        <v>0</v>
      </c>
      <c r="AP12" s="1279"/>
      <c r="AQ12" s="1280"/>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249"/>
      <c r="AC13" s="1250"/>
      <c r="AD13" s="1250"/>
      <c r="AE13" s="1250"/>
      <c r="AF13" s="414"/>
      <c r="AG13" s="414"/>
      <c r="AH13" s="1253"/>
      <c r="AI13" s="1254"/>
      <c r="AK13" s="914"/>
      <c r="AL13" s="915"/>
      <c r="AM13" s="915"/>
      <c r="AN13" s="263"/>
      <c r="AO13" s="263"/>
      <c r="AP13" s="1281">
        <f>SUM(AO8:AO12)</f>
        <v>0</v>
      </c>
      <c r="AQ13" s="1282"/>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44" t="s">
        <v>497</v>
      </c>
      <c r="AC14" s="1245"/>
      <c r="AD14" s="1245"/>
      <c r="AE14" s="1245"/>
      <c r="AF14" s="1245"/>
      <c r="AG14" s="1245"/>
      <c r="AH14" s="1245"/>
      <c r="AI14" s="1246"/>
      <c r="AK14" s="1293" t="s">
        <v>457</v>
      </c>
      <c r="AL14" s="1294"/>
      <c r="AM14" s="1294"/>
      <c r="AN14" s="1294"/>
      <c r="AO14" s="1294"/>
      <c r="AP14" s="1294"/>
      <c r="AQ14" s="1295"/>
    </row>
    <row r="15" spans="1:43" ht="47.25" customHeight="1" thickBot="1">
      <c r="A15" s="1185" t="s">
        <v>10</v>
      </c>
      <c r="B15" s="1186"/>
      <c r="C15" s="1186"/>
      <c r="D15" s="1186"/>
      <c r="E15" s="1186"/>
      <c r="F15" s="1186"/>
      <c r="G15" s="1186"/>
      <c r="H15" s="1186"/>
      <c r="I15" s="1187"/>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249" t="s">
        <v>498</v>
      </c>
      <c r="AC15" s="1250"/>
      <c r="AD15" s="1250"/>
      <c r="AE15" s="1250"/>
      <c r="AF15" s="25"/>
      <c r="AG15" s="25"/>
      <c r="AH15" s="1259"/>
      <c r="AI15" s="1260"/>
      <c r="AK15" s="1296"/>
      <c r="AL15" s="1297"/>
      <c r="AM15" s="1297"/>
      <c r="AN15" s="1297"/>
      <c r="AO15" s="1297"/>
      <c r="AP15" s="1297"/>
      <c r="AQ15" s="1298"/>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249" t="s">
        <v>499</v>
      </c>
      <c r="AC16" s="1250"/>
      <c r="AD16" s="1250"/>
      <c r="AE16" s="1250"/>
      <c r="AF16" s="25"/>
      <c r="AG16" s="25"/>
      <c r="AH16" s="1259"/>
      <c r="AI16" s="1260"/>
      <c r="AK16" s="1286" t="s">
        <v>239</v>
      </c>
      <c r="AL16" s="1287"/>
      <c r="AM16" s="1288"/>
      <c r="AN16" s="203"/>
      <c r="AO16" s="203"/>
      <c r="AP16" s="941"/>
      <c r="AQ16" s="942"/>
    </row>
    <row r="17" spans="1:43" ht="47.25" customHeight="1">
      <c r="A17" s="1223" t="s">
        <v>124</v>
      </c>
      <c r="B17" s="1224"/>
      <c r="C17" s="1224"/>
      <c r="D17" s="1224"/>
      <c r="E17" s="1224"/>
      <c r="F17" s="1224"/>
      <c r="G17" s="1224"/>
      <c r="H17" s="1224"/>
      <c r="I17" s="1225"/>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55" t="s">
        <v>483</v>
      </c>
      <c r="AC17" s="1256"/>
      <c r="AD17" s="1256"/>
      <c r="AE17" s="1256"/>
      <c r="AF17" s="264"/>
      <c r="AG17" s="264"/>
      <c r="AH17" s="1265"/>
      <c r="AI17" s="1266"/>
      <c r="AK17" s="938"/>
      <c r="AL17" s="939"/>
      <c r="AM17" s="940"/>
      <c r="AN17" s="203"/>
      <c r="AO17" s="203"/>
      <c r="AP17" s="943"/>
      <c r="AQ17" s="944"/>
    </row>
    <row r="18" spans="1:43" ht="47.25" customHeight="1" thickBot="1">
      <c r="A18" s="558"/>
      <c r="B18" s="559">
        <v>4</v>
      </c>
      <c r="C18" s="575">
        <v>114.65</v>
      </c>
      <c r="D18" s="575">
        <v>0.3595</v>
      </c>
      <c r="E18" s="1181" t="s">
        <v>519</v>
      </c>
      <c r="F18" s="1181"/>
      <c r="G18" s="1181"/>
      <c r="H18" s="1181"/>
      <c r="I18" s="1182"/>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249"/>
      <c r="AC18" s="1250"/>
      <c r="AD18" s="1250"/>
      <c r="AE18" s="1250"/>
      <c r="AF18" s="265"/>
      <c r="AG18" s="265"/>
      <c r="AH18" s="1267"/>
      <c r="AI18" s="1268"/>
      <c r="AK18" s="736" t="s">
        <v>237</v>
      </c>
      <c r="AL18" s="922"/>
      <c r="AM18" s="923"/>
      <c r="AN18" s="264"/>
      <c r="AO18" s="264"/>
      <c r="AP18" s="1289">
        <f>FLOOR(AP16,0.125)</f>
        <v>0</v>
      </c>
      <c r="AQ18" s="1290"/>
    </row>
    <row r="19" spans="1:43" ht="47.25" customHeight="1" thickBot="1">
      <c r="A19" s="558"/>
      <c r="B19" s="559"/>
      <c r="C19" s="575">
        <v>92.5</v>
      </c>
      <c r="D19" s="575">
        <v>0.841</v>
      </c>
      <c r="E19" s="1181" t="s">
        <v>520</v>
      </c>
      <c r="F19" s="1181"/>
      <c r="G19" s="1181"/>
      <c r="H19" s="1181"/>
      <c r="I19" s="1182"/>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249" t="s">
        <v>500</v>
      </c>
      <c r="AC19" s="1250"/>
      <c r="AD19" s="1250"/>
      <c r="AE19" s="1250"/>
      <c r="AF19" s="264"/>
      <c r="AG19" s="264"/>
      <c r="AH19" s="1261">
        <f>ROUND(IF(ISERROR((AH17*AH15)/AH16),0,(AH17*AH15)/AH16),2)</f>
        <v>0</v>
      </c>
      <c r="AI19" s="1262"/>
      <c r="AK19" s="737"/>
      <c r="AL19" s="924"/>
      <c r="AM19" s="925"/>
      <c r="AN19" s="265"/>
      <c r="AO19" s="265"/>
      <c r="AP19" s="1291"/>
      <c r="AQ19" s="1292"/>
    </row>
    <row r="20" spans="1:35" ht="47.25" customHeight="1" thickBot="1">
      <c r="A20" s="558"/>
      <c r="B20" s="559"/>
      <c r="C20" s="575">
        <v>124.15</v>
      </c>
      <c r="D20" s="575">
        <v>1.0635</v>
      </c>
      <c r="E20" s="1181" t="s">
        <v>521</v>
      </c>
      <c r="F20" s="1181"/>
      <c r="G20" s="1181"/>
      <c r="H20" s="1181"/>
      <c r="I20" s="1182"/>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57"/>
      <c r="AC20" s="1258"/>
      <c r="AD20" s="1258"/>
      <c r="AE20" s="1258"/>
      <c r="AF20" s="265"/>
      <c r="AG20" s="265"/>
      <c r="AH20" s="1263"/>
      <c r="AI20" s="1264"/>
    </row>
    <row r="21" spans="1:26" ht="47.25" customHeight="1" thickBot="1">
      <c r="A21" s="560"/>
      <c r="B21" s="561"/>
      <c r="C21" s="561">
        <v>0</v>
      </c>
      <c r="D21" s="561">
        <v>0</v>
      </c>
      <c r="E21" s="1183" t="s">
        <v>151</v>
      </c>
      <c r="F21" s="1183"/>
      <c r="G21" s="1183"/>
      <c r="H21" s="1183"/>
      <c r="I21" s="1184"/>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325" t="s">
        <v>631</v>
      </c>
      <c r="AC22" s="1325"/>
      <c r="AD22" s="1325"/>
      <c r="AE22" s="1325"/>
      <c r="AF22" s="1325"/>
      <c r="AG22" s="1325"/>
      <c r="AH22" s="1325"/>
      <c r="AI22" s="1325"/>
      <c r="AJ22" s="1325"/>
      <c r="AK22" s="1325"/>
      <c r="AL22" s="1325"/>
      <c r="AM22" s="1325"/>
      <c r="AN22" s="1325"/>
      <c r="AO22" s="1325"/>
      <c r="AP22" s="1325"/>
      <c r="AQ22" s="1325"/>
    </row>
    <row r="23" spans="1:26" ht="47.25" customHeight="1">
      <c r="A23" s="1307" t="s">
        <v>628</v>
      </c>
      <c r="B23" s="1308"/>
      <c r="C23" s="1308"/>
      <c r="D23" s="1308"/>
      <c r="E23" s="1308"/>
      <c r="F23" s="1308"/>
      <c r="G23" s="1308"/>
      <c r="H23" s="1308"/>
      <c r="I23" s="1309"/>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310"/>
      <c r="B24" s="1311"/>
      <c r="C24" s="1311"/>
      <c r="D24" s="1311"/>
      <c r="E24" s="1311"/>
      <c r="F24" s="1311"/>
      <c r="G24" s="1311"/>
      <c r="H24" s="1311"/>
      <c r="I24" s="1312"/>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26" t="s">
        <v>471</v>
      </c>
      <c r="B25" s="1226"/>
      <c r="C25" s="1226"/>
      <c r="D25" s="1226"/>
      <c r="E25" s="1226"/>
      <c r="F25" s="1226"/>
      <c r="G25" s="1226"/>
      <c r="H25" s="1226"/>
      <c r="I25" s="1226"/>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27" t="s">
        <v>752</v>
      </c>
      <c r="B26" s="1228"/>
      <c r="C26" s="1228"/>
      <c r="D26" s="1228"/>
      <c r="E26" s="1228"/>
      <c r="F26" s="1229"/>
      <c r="G26" s="506"/>
      <c r="H26" s="506"/>
      <c r="I26" s="689">
        <f>IF(ISERROR(('Weekly Report'!G13/SUM('Weekly Report'!G13:G17))*'Weekly Report'!G10),0,('Weekly Report'!G13)/SUM('Weekly Report'!G13:G17))*'Weekly Report'!G10</f>
        <v>1.125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322" t="s">
        <v>617</v>
      </c>
      <c r="AD26" s="1323"/>
      <c r="AE26" s="1323"/>
      <c r="AF26" s="1323"/>
      <c r="AG26" s="1323"/>
      <c r="AH26" s="1323"/>
      <c r="AI26" s="1323"/>
      <c r="AJ26" s="1323"/>
      <c r="AK26" s="1323"/>
      <c r="AL26" s="1323"/>
      <c r="AM26" s="1324"/>
      <c r="AN26" s="535"/>
      <c r="AO26" s="535"/>
      <c r="AP26" s="204"/>
      <c r="AQ26" s="204"/>
    </row>
    <row r="27" spans="1:39" ht="47.25" customHeight="1">
      <c r="A27" s="1230" t="s">
        <v>744</v>
      </c>
      <c r="B27" s="1230"/>
      <c r="C27" s="1230"/>
      <c r="D27" s="1230"/>
      <c r="E27" s="1230"/>
      <c r="F27" s="1230"/>
      <c r="G27" s="1230"/>
      <c r="H27" s="1230"/>
      <c r="I27" s="1230"/>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319" t="s">
        <v>603</v>
      </c>
      <c r="AD27" s="1319"/>
      <c r="AE27" s="1319"/>
      <c r="AF27" s="1319"/>
      <c r="AG27" s="1319"/>
      <c r="AH27" s="1319"/>
      <c r="AI27" s="1319" t="s">
        <v>604</v>
      </c>
      <c r="AJ27" s="1319"/>
      <c r="AK27" s="1319"/>
      <c r="AL27" s="1319" t="s">
        <v>605</v>
      </c>
      <c r="AM27" s="1319"/>
    </row>
    <row r="28" spans="1:39" ht="47.25" customHeight="1">
      <c r="A28" s="576"/>
      <c r="B28" s="577">
        <v>4</v>
      </c>
      <c r="C28" s="578">
        <v>40.6</v>
      </c>
      <c r="D28" s="578">
        <v>0.3091666666666667</v>
      </c>
      <c r="E28" s="1231" t="s">
        <v>525</v>
      </c>
      <c r="F28" s="1231"/>
      <c r="G28" s="1231"/>
      <c r="H28" s="1231"/>
      <c r="I28" s="1232"/>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283" t="s">
        <v>618</v>
      </c>
      <c r="AD28" s="1283"/>
      <c r="AE28" s="1283"/>
      <c r="AF28" s="1283"/>
      <c r="AG28" s="1283"/>
      <c r="AH28" s="1283"/>
      <c r="AI28" s="1283">
        <v>68</v>
      </c>
      <c r="AJ28" s="1283"/>
      <c r="AK28" s="1283"/>
      <c r="AL28" s="1283">
        <v>4.87</v>
      </c>
      <c r="AM28" s="1283"/>
    </row>
    <row r="29" spans="1:39" ht="47.25" customHeight="1">
      <c r="A29" s="579"/>
      <c r="B29" s="580"/>
      <c r="C29" s="578">
        <v>63</v>
      </c>
      <c r="D29" s="578">
        <v>1.0266666666666668</v>
      </c>
      <c r="E29" s="1231" t="s">
        <v>526</v>
      </c>
      <c r="F29" s="1231"/>
      <c r="G29" s="1231"/>
      <c r="H29" s="1231"/>
      <c r="I29" s="1232"/>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320" t="s">
        <v>753</v>
      </c>
      <c r="AD29" s="1283">
        <v>68</v>
      </c>
      <c r="AE29" s="1283">
        <v>1.58</v>
      </c>
      <c r="AF29" s="1283" t="s">
        <v>606</v>
      </c>
      <c r="AG29" s="1283">
        <v>68</v>
      </c>
      <c r="AH29" s="1283">
        <v>1.58</v>
      </c>
      <c r="AI29" s="1283">
        <v>68</v>
      </c>
      <c r="AJ29" s="1283">
        <v>1.58</v>
      </c>
      <c r="AK29" s="1283" t="s">
        <v>606</v>
      </c>
      <c r="AL29" s="1283">
        <v>1.58</v>
      </c>
      <c r="AM29" s="1283"/>
    </row>
    <row r="30" spans="1:39" ht="47.25" customHeight="1">
      <c r="A30" s="579"/>
      <c r="B30" s="580"/>
      <c r="C30" s="578">
        <v>85.4</v>
      </c>
      <c r="D30" s="578">
        <v>1.7441666666666669</v>
      </c>
      <c r="E30" s="1231" t="s">
        <v>527</v>
      </c>
      <c r="F30" s="1231"/>
      <c r="G30" s="1231"/>
      <c r="H30" s="1231"/>
      <c r="I30" s="1232"/>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283" t="s">
        <v>607</v>
      </c>
      <c r="AD30" s="1283">
        <v>52</v>
      </c>
      <c r="AE30" s="1283">
        <v>3.46</v>
      </c>
      <c r="AF30" s="1283" t="s">
        <v>607</v>
      </c>
      <c r="AG30" s="1283">
        <v>52</v>
      </c>
      <c r="AH30" s="1283">
        <v>3.46</v>
      </c>
      <c r="AI30" s="1283">
        <v>52</v>
      </c>
      <c r="AJ30" s="1283">
        <v>3.46</v>
      </c>
      <c r="AK30" s="1283" t="s">
        <v>607</v>
      </c>
      <c r="AL30" s="1283">
        <v>3.46</v>
      </c>
      <c r="AM30" s="1283"/>
    </row>
    <row r="31" spans="1:39" ht="47.25" customHeight="1">
      <c r="A31" s="581"/>
      <c r="B31" s="582"/>
      <c r="C31" s="582">
        <v>0</v>
      </c>
      <c r="D31" s="582">
        <v>0</v>
      </c>
      <c r="E31" s="1242" t="s">
        <v>152</v>
      </c>
      <c r="F31" s="1242"/>
      <c r="G31" s="1242"/>
      <c r="H31" s="1242"/>
      <c r="I31" s="1243"/>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283" t="s">
        <v>608</v>
      </c>
      <c r="AD31" s="1283">
        <v>73</v>
      </c>
      <c r="AE31" s="1283">
        <v>1.2</v>
      </c>
      <c r="AF31" s="1283" t="s">
        <v>608</v>
      </c>
      <c r="AG31" s="1283">
        <v>73</v>
      </c>
      <c r="AH31" s="1283">
        <v>1.2</v>
      </c>
      <c r="AI31" s="1283">
        <v>73</v>
      </c>
      <c r="AJ31" s="1283">
        <v>1.2</v>
      </c>
      <c r="AK31" s="1283" t="s">
        <v>608</v>
      </c>
      <c r="AL31" s="1321">
        <v>1.2</v>
      </c>
      <c r="AM31" s="1321"/>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283" t="s">
        <v>609</v>
      </c>
      <c r="AD32" s="1283">
        <v>29</v>
      </c>
      <c r="AE32" s="1283">
        <v>0.19</v>
      </c>
      <c r="AF32" s="1283" t="s">
        <v>609</v>
      </c>
      <c r="AG32" s="1283">
        <v>29</v>
      </c>
      <c r="AH32" s="1283">
        <v>0.19</v>
      </c>
      <c r="AI32" s="1283">
        <v>29</v>
      </c>
      <c r="AJ32" s="1283">
        <v>0.19</v>
      </c>
      <c r="AK32" s="1283" t="s">
        <v>609</v>
      </c>
      <c r="AL32" s="1283">
        <v>0.19</v>
      </c>
      <c r="AM32" s="1283"/>
    </row>
    <row r="33" spans="1:39" ht="47.25" customHeight="1">
      <c r="A33" s="1214" t="s">
        <v>472</v>
      </c>
      <c r="B33" s="1214"/>
      <c r="C33" s="1214"/>
      <c r="D33" s="1214"/>
      <c r="E33" s="1214"/>
      <c r="F33" s="1214"/>
      <c r="G33" s="1214"/>
      <c r="H33" s="1214"/>
      <c r="I33" s="1214"/>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283" t="s">
        <v>610</v>
      </c>
      <c r="AD33" s="1283">
        <v>43</v>
      </c>
      <c r="AE33" s="1283">
        <v>0.66</v>
      </c>
      <c r="AF33" s="1283" t="s">
        <v>610</v>
      </c>
      <c r="AG33" s="1283">
        <v>43</v>
      </c>
      <c r="AH33" s="1283">
        <v>0.66</v>
      </c>
      <c r="AI33" s="1283">
        <v>43</v>
      </c>
      <c r="AJ33" s="1283">
        <v>0.66</v>
      </c>
      <c r="AK33" s="1283" t="s">
        <v>610</v>
      </c>
      <c r="AL33" s="1283">
        <v>0.66</v>
      </c>
      <c r="AM33" s="1283"/>
    </row>
    <row r="34" spans="1:39" ht="47.25" customHeight="1">
      <c r="A34" s="1215" t="s">
        <v>749</v>
      </c>
      <c r="B34" s="1216"/>
      <c r="C34" s="1216"/>
      <c r="D34" s="1216"/>
      <c r="E34" s="1216"/>
      <c r="F34" s="1217"/>
      <c r="G34" s="504"/>
      <c r="H34" s="504"/>
      <c r="I34" s="690">
        <f>IF(ISERROR(('Weekly Report'!G14)/SUM('Weekly Report'!G13:G17)*'Weekly Report'!G10),0,(('Weekly Report'!G14)/SUM('Weekly Report'!G13:G17)*'Weekly Report'!G10))</f>
        <v>1.5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283" t="s">
        <v>611</v>
      </c>
      <c r="AD34" s="1283">
        <v>11</v>
      </c>
      <c r="AE34" s="1283">
        <v>0.07</v>
      </c>
      <c r="AF34" s="1283" t="s">
        <v>611</v>
      </c>
      <c r="AG34" s="1283">
        <v>11</v>
      </c>
      <c r="AH34" s="1283">
        <v>0.07</v>
      </c>
      <c r="AI34" s="1283">
        <v>11</v>
      </c>
      <c r="AJ34" s="1283">
        <v>0.07</v>
      </c>
      <c r="AK34" s="1283" t="s">
        <v>611</v>
      </c>
      <c r="AL34" s="1283">
        <v>0.07</v>
      </c>
      <c r="AM34" s="1283"/>
    </row>
    <row r="35" spans="1:39" ht="47.25" customHeight="1">
      <c r="A35" s="1313" t="s">
        <v>626</v>
      </c>
      <c r="B35" s="1314"/>
      <c r="C35" s="1314"/>
      <c r="D35" s="1314"/>
      <c r="E35" s="1315"/>
      <c r="F35" s="1316" t="s">
        <v>627</v>
      </c>
      <c r="G35" s="1317"/>
      <c r="H35" s="1317"/>
      <c r="I35" s="1318"/>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283" t="s">
        <v>612</v>
      </c>
      <c r="AD35" s="1283">
        <v>57</v>
      </c>
      <c r="AE35" s="1283">
        <v>0.72</v>
      </c>
      <c r="AF35" s="1283" t="s">
        <v>612</v>
      </c>
      <c r="AG35" s="1283">
        <v>57</v>
      </c>
      <c r="AH35" s="1283">
        <v>0.72</v>
      </c>
      <c r="AI35" s="1283">
        <v>57</v>
      </c>
      <c r="AJ35" s="1283">
        <v>0.72</v>
      </c>
      <c r="AK35" s="1283" t="s">
        <v>612</v>
      </c>
      <c r="AL35" s="1283">
        <v>0.72</v>
      </c>
      <c r="AM35" s="1283"/>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283" t="s">
        <v>613</v>
      </c>
      <c r="AD36" s="1283">
        <v>9</v>
      </c>
      <c r="AE36" s="1283">
        <v>0</v>
      </c>
      <c r="AF36" s="1283" t="s">
        <v>613</v>
      </c>
      <c r="AG36" s="1283">
        <v>9</v>
      </c>
      <c r="AH36" s="1283">
        <v>0</v>
      </c>
      <c r="AI36" s="1283">
        <v>9</v>
      </c>
      <c r="AJ36" s="1283">
        <v>0</v>
      </c>
      <c r="AK36" s="1283" t="s">
        <v>613</v>
      </c>
      <c r="AL36" s="1283">
        <v>0</v>
      </c>
      <c r="AM36" s="1283"/>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283" t="s">
        <v>614</v>
      </c>
      <c r="AD37" s="1283">
        <v>38</v>
      </c>
      <c r="AE37" s="1283">
        <v>0</v>
      </c>
      <c r="AF37" s="1283" t="s">
        <v>614</v>
      </c>
      <c r="AG37" s="1283">
        <v>38</v>
      </c>
      <c r="AH37" s="1283">
        <v>0</v>
      </c>
      <c r="AI37" s="1283">
        <v>38</v>
      </c>
      <c r="AJ37" s="1283">
        <v>0</v>
      </c>
      <c r="AK37" s="1283" t="s">
        <v>614</v>
      </c>
      <c r="AL37" s="1283">
        <v>0</v>
      </c>
      <c r="AM37" s="1283"/>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283" t="s">
        <v>615</v>
      </c>
      <c r="AD38" s="1283">
        <v>106</v>
      </c>
      <c r="AE38" s="1283">
        <v>0.01</v>
      </c>
      <c r="AF38" s="1283" t="s">
        <v>615</v>
      </c>
      <c r="AG38" s="1283">
        <v>106</v>
      </c>
      <c r="AH38" s="1283">
        <v>0.01</v>
      </c>
      <c r="AI38" s="1283">
        <v>106</v>
      </c>
      <c r="AJ38" s="1283">
        <v>0.01</v>
      </c>
      <c r="AK38" s="1283" t="s">
        <v>615</v>
      </c>
      <c r="AL38" s="1283">
        <v>0.01</v>
      </c>
      <c r="AM38" s="1283"/>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283" t="s">
        <v>616</v>
      </c>
      <c r="AD39" s="1283">
        <v>3</v>
      </c>
      <c r="AE39" s="1283">
        <v>0.01</v>
      </c>
      <c r="AF39" s="1283" t="s">
        <v>616</v>
      </c>
      <c r="AG39" s="1283">
        <v>3</v>
      </c>
      <c r="AH39" s="1283">
        <v>0.01</v>
      </c>
      <c r="AI39" s="1283">
        <v>3</v>
      </c>
      <c r="AJ39" s="1283">
        <v>0.01</v>
      </c>
      <c r="AK39" s="1283" t="s">
        <v>616</v>
      </c>
      <c r="AL39" s="1283">
        <v>0.01</v>
      </c>
      <c r="AM39" s="1283"/>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325" t="s">
        <v>631</v>
      </c>
      <c r="AD40" s="1325"/>
      <c r="AE40" s="1325"/>
      <c r="AF40" s="1325"/>
      <c r="AG40" s="1325"/>
      <c r="AH40" s="1325"/>
      <c r="AI40" s="1325"/>
      <c r="AJ40" s="1325"/>
      <c r="AK40" s="1325"/>
      <c r="AL40" s="1325"/>
      <c r="AM40" s="1325"/>
      <c r="AN40" s="1325"/>
    </row>
    <row r="41" spans="1:35" ht="47.25" customHeight="1">
      <c r="A41" s="1201" t="s">
        <v>473</v>
      </c>
      <c r="B41" s="1201"/>
      <c r="C41" s="1201"/>
      <c r="D41" s="1201"/>
      <c r="E41" s="1201"/>
      <c r="F41" s="1201"/>
      <c r="G41" s="1201"/>
      <c r="H41" s="1201"/>
      <c r="I41" s="1201"/>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18" t="s">
        <v>750</v>
      </c>
      <c r="B42" s="1219"/>
      <c r="C42" s="1219"/>
      <c r="D42" s="1219"/>
      <c r="E42" s="1219"/>
      <c r="F42" s="1220"/>
      <c r="G42" s="505"/>
      <c r="H42" s="505"/>
      <c r="I42" s="706">
        <f>IF(ISERROR(('Weekly Report'!G15)/SUM('Weekly Report'!G13:G17)*'Weekly Report'!G10),0,'Weekly Report'!G15/SUM('Weekly Report'!G13:G17)*'Weekly Report'!G10)</f>
        <v>0.49999999999999994</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178" t="s">
        <v>741</v>
      </c>
      <c r="B43" s="1179"/>
      <c r="C43" s="1179"/>
      <c r="D43" s="1179"/>
      <c r="E43" s="1179"/>
      <c r="F43" s="1179"/>
      <c r="G43" s="1179"/>
      <c r="H43" s="1179"/>
      <c r="I43" s="1180"/>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159" t="s">
        <v>531</v>
      </c>
      <c r="F44" s="1159"/>
      <c r="G44" s="1159"/>
      <c r="H44" s="1159"/>
      <c r="I44" s="1160"/>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159" t="s">
        <v>532</v>
      </c>
      <c r="F45" s="1159"/>
      <c r="G45" s="1159"/>
      <c r="H45" s="1159"/>
      <c r="I45" s="1160"/>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159" t="s">
        <v>533</v>
      </c>
      <c r="F46" s="1159"/>
      <c r="G46" s="1159"/>
      <c r="H46" s="1159"/>
      <c r="I46" s="1160"/>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161" t="s">
        <v>154</v>
      </c>
      <c r="F47" s="1161"/>
      <c r="G47" s="1161"/>
      <c r="H47" s="1161"/>
      <c r="I47" s="1162"/>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192" t="s">
        <v>474</v>
      </c>
      <c r="B49" s="1192"/>
      <c r="C49" s="1192"/>
      <c r="D49" s="1192"/>
      <c r="E49" s="1192"/>
      <c r="F49" s="1192"/>
      <c r="G49" s="1192"/>
      <c r="H49" s="1192"/>
      <c r="I49" s="1192"/>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169" t="s">
        <v>766</v>
      </c>
      <c r="B50" s="1170"/>
      <c r="C50" s="1170"/>
      <c r="D50" s="1170"/>
      <c r="E50" s="1170"/>
      <c r="F50" s="1171"/>
      <c r="G50" s="508"/>
      <c r="H50" s="508"/>
      <c r="I50" s="705">
        <f>IF(ISERROR(('Weekly Report'!G16)/SUM('Weekly Report'!G13:G17)*'Weekly Report'!G10),0,('Weekly Report'!G16)/SUM('Weekly Report'!G13:G17)*'Weekly Report'!G10)</f>
        <v>1.5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172" t="s">
        <v>742</v>
      </c>
      <c r="B51" s="1173"/>
      <c r="C51" s="1173"/>
      <c r="D51" s="1173"/>
      <c r="E51" s="1173"/>
      <c r="F51" s="1173"/>
      <c r="G51" s="1173"/>
      <c r="H51" s="1173"/>
      <c r="I51" s="1174"/>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11" t="s">
        <v>534</v>
      </c>
      <c r="F52" s="1211"/>
      <c r="G52" s="1211"/>
      <c r="H52" s="1211"/>
      <c r="I52" s="1212"/>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11" t="s">
        <v>535</v>
      </c>
      <c r="F53" s="1211"/>
      <c r="G53" s="1211"/>
      <c r="H53" s="1211"/>
      <c r="I53" s="1212"/>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11" t="s">
        <v>536</v>
      </c>
      <c r="F54" s="1211"/>
      <c r="G54" s="1211"/>
      <c r="H54" s="1211"/>
      <c r="I54" s="1212"/>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196" t="s">
        <v>155</v>
      </c>
      <c r="F55" s="1196"/>
      <c r="G55" s="1196"/>
      <c r="H55" s="1196"/>
      <c r="I55" s="1197"/>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198" t="s">
        <v>475</v>
      </c>
      <c r="B57" s="1198"/>
      <c r="C57" s="1198"/>
      <c r="D57" s="1198"/>
      <c r="E57" s="1198"/>
      <c r="F57" s="1198"/>
      <c r="G57" s="1198"/>
      <c r="H57" s="1198"/>
      <c r="I57" s="1198"/>
      <c r="M57" s="2"/>
      <c r="N57" s="2"/>
    </row>
    <row r="58" spans="1:21" ht="47.25" customHeight="1">
      <c r="A58" s="1175" t="s">
        <v>751</v>
      </c>
      <c r="B58" s="1176"/>
      <c r="C58" s="1176"/>
      <c r="D58" s="1176"/>
      <c r="E58" s="1176"/>
      <c r="F58" s="1177"/>
      <c r="G58" s="507"/>
      <c r="H58" s="507"/>
      <c r="I58" s="686">
        <f>IF(ISERROR(('Weekly Report'!G17)/SUM('Weekly Report'!G13:G17)*'Weekly Report'!G10),0,('Weekly Report'!G17)/SUM('Weekly Report'!G13:G17)*'Weekly Report'!G10)</f>
        <v>1.5</v>
      </c>
      <c r="M58" s="2"/>
      <c r="N58" s="2"/>
      <c r="O58" s="1189" t="s">
        <v>141</v>
      </c>
      <c r="P58" s="1190"/>
      <c r="Q58" s="1190"/>
      <c r="R58" s="1190"/>
      <c r="S58" s="1190"/>
      <c r="T58" s="1190"/>
      <c r="U58" s="1191"/>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148" t="s">
        <v>144</v>
      </c>
      <c r="R59" s="1149"/>
      <c r="S59" s="1149"/>
      <c r="T59" s="1150"/>
      <c r="U59" s="212" t="s">
        <v>145</v>
      </c>
    </row>
    <row r="60" spans="1:43" s="201" customFormat="1" ht="47.25" customHeight="1">
      <c r="A60" s="110"/>
      <c r="B60" s="609">
        <v>4</v>
      </c>
      <c r="C60" s="610">
        <v>38.18181818181818</v>
      </c>
      <c r="D60" s="610">
        <v>0.06554545454545455</v>
      </c>
      <c r="E60" s="1221" t="s">
        <v>537</v>
      </c>
      <c r="F60" s="1221"/>
      <c r="G60" s="1221"/>
      <c r="H60" s="1221"/>
      <c r="I60" s="1222"/>
      <c r="J60" s="202"/>
      <c r="K60" s="202"/>
      <c r="M60" s="2"/>
      <c r="N60" s="2"/>
      <c r="O60" s="1151" t="s">
        <v>98</v>
      </c>
      <c r="P60" s="553" t="s">
        <v>143</v>
      </c>
      <c r="Q60" s="1202" t="s">
        <v>149</v>
      </c>
      <c r="R60" s="1203"/>
      <c r="S60" s="1203"/>
      <c r="T60" s="1204"/>
      <c r="U60" s="1209"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21" t="s">
        <v>538</v>
      </c>
      <c r="F61" s="1221"/>
      <c r="G61" s="1221"/>
      <c r="H61" s="1221"/>
      <c r="I61" s="1222"/>
      <c r="J61" s="202">
        <f>C64*I58</f>
        <v>0</v>
      </c>
      <c r="K61" s="202">
        <f>I58*D64</f>
        <v>0</v>
      </c>
      <c r="N61" s="550"/>
      <c r="O61" s="1208"/>
      <c r="P61" s="554">
        <f>ROUND(SUM(J67,O72,V72),2)</f>
        <v>0</v>
      </c>
      <c r="Q61" s="1205"/>
      <c r="R61" s="1206"/>
      <c r="S61" s="1206"/>
      <c r="T61" s="1207"/>
      <c r="U61" s="1210"/>
      <c r="X61" s="201"/>
      <c r="AK61" s="201"/>
      <c r="AL61" s="201"/>
      <c r="AM61" s="201"/>
      <c r="AN61" s="201"/>
      <c r="AO61" s="201"/>
      <c r="AP61" s="201"/>
      <c r="AQ61" s="201"/>
    </row>
    <row r="62" spans="1:43" s="201" customFormat="1" ht="47.25" customHeight="1">
      <c r="A62" s="611"/>
      <c r="B62" s="612"/>
      <c r="C62" s="610">
        <v>119.18181818181819</v>
      </c>
      <c r="D62" s="610">
        <v>5.688295454545455</v>
      </c>
      <c r="E62" s="1221" t="s">
        <v>539</v>
      </c>
      <c r="F62" s="1221"/>
      <c r="G62" s="1221"/>
      <c r="H62" s="1221"/>
      <c r="I62" s="1222"/>
      <c r="J62" s="202"/>
      <c r="K62" s="202"/>
      <c r="O62" s="1151" t="s">
        <v>131</v>
      </c>
      <c r="P62" s="553" t="s">
        <v>148</v>
      </c>
      <c r="Q62" s="1163" t="s">
        <v>147</v>
      </c>
      <c r="R62" s="1164"/>
      <c r="S62" s="1164"/>
      <c r="T62" s="1165"/>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153" t="s">
        <v>156</v>
      </c>
      <c r="F63" s="1153"/>
      <c r="G63" s="1153"/>
      <c r="H63" s="1153"/>
      <c r="I63" s="1154"/>
      <c r="J63" s="202" t="s">
        <v>127</v>
      </c>
      <c r="K63" s="202" t="s">
        <v>128</v>
      </c>
      <c r="M63" s="182"/>
      <c r="N63" s="539"/>
      <c r="O63" s="1152"/>
      <c r="P63" s="555">
        <f>ROUND(IF(ISERROR(SUM(K67,P72,W72)*9/P61),0,SUM(K67,P72,W72)*9/P61),2)</f>
        <v>0</v>
      </c>
      <c r="Q63" s="1166"/>
      <c r="R63" s="1167"/>
      <c r="S63" s="1167"/>
      <c r="T63" s="1168"/>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285" t="s">
        <v>629</v>
      </c>
      <c r="B65" s="1285"/>
      <c r="C65" s="1285"/>
      <c r="D65" s="1285"/>
      <c r="E65" s="1285"/>
      <c r="F65" s="1285"/>
      <c r="G65" s="1285"/>
      <c r="H65" s="1285"/>
      <c r="I65" s="1285"/>
      <c r="P65" s="213"/>
    </row>
    <row r="66" spans="6:13" ht="22.5" customHeight="1" hidden="1">
      <c r="F66" s="1236" t="s">
        <v>132</v>
      </c>
      <c r="G66" s="1236"/>
      <c r="H66" s="1236"/>
      <c r="I66" s="1236"/>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13" t="s">
        <v>602</v>
      </c>
      <c r="P73" s="1213"/>
      <c r="Q73" s="1213"/>
      <c r="R73" s="1213"/>
      <c r="S73" s="1213"/>
      <c r="T73" s="1213"/>
      <c r="U73" s="1213"/>
    </row>
    <row r="74" spans="15:21" ht="15" thickBot="1">
      <c r="O74" s="1213"/>
      <c r="P74" s="1213"/>
      <c r="Q74" s="1213"/>
      <c r="R74" s="1213"/>
      <c r="S74" s="1213"/>
      <c r="T74" s="1213"/>
      <c r="U74" s="1213"/>
    </row>
    <row r="75" spans="15:21" ht="15" thickTop="1">
      <c r="O75" s="1059"/>
      <c r="P75" s="1060"/>
      <c r="Q75" s="1060"/>
      <c r="R75" s="1060"/>
      <c r="S75" s="1060"/>
      <c r="T75" s="1060"/>
      <c r="U75" s="1061"/>
    </row>
    <row r="76" spans="15:21" ht="13.5">
      <c r="O76" s="1062"/>
      <c r="P76" s="894"/>
      <c r="Q76" s="894"/>
      <c r="R76" s="894"/>
      <c r="S76" s="894"/>
      <c r="T76" s="894"/>
      <c r="U76" s="1063"/>
    </row>
    <row r="77" spans="15:21" ht="13.5">
      <c r="O77" s="1062"/>
      <c r="P77" s="894"/>
      <c r="Q77" s="894"/>
      <c r="R77" s="894"/>
      <c r="S77" s="894"/>
      <c r="T77" s="894"/>
      <c r="U77" s="1063"/>
    </row>
    <row r="78" spans="15:21" ht="13.5">
      <c r="O78" s="1062"/>
      <c r="P78" s="894"/>
      <c r="Q78" s="894"/>
      <c r="R78" s="894"/>
      <c r="S78" s="894"/>
      <c r="T78" s="894"/>
      <c r="U78" s="1063"/>
    </row>
    <row r="79" spans="15:21" ht="13.5">
      <c r="O79" s="1062"/>
      <c r="P79" s="894"/>
      <c r="Q79" s="894"/>
      <c r="R79" s="894"/>
      <c r="S79" s="894"/>
      <c r="T79" s="894"/>
      <c r="U79" s="1063"/>
    </row>
    <row r="80" spans="15:21" ht="13.5">
      <c r="O80" s="1062"/>
      <c r="P80" s="894"/>
      <c r="Q80" s="894"/>
      <c r="R80" s="894"/>
      <c r="S80" s="894"/>
      <c r="T80" s="894"/>
      <c r="U80" s="1063"/>
    </row>
    <row r="81" spans="15:21" ht="13.5">
      <c r="O81" s="1062"/>
      <c r="P81" s="894"/>
      <c r="Q81" s="894"/>
      <c r="R81" s="894"/>
      <c r="S81" s="894"/>
      <c r="T81" s="894"/>
      <c r="U81" s="1063"/>
    </row>
    <row r="82" spans="15:21" ht="13.5">
      <c r="O82" s="1062"/>
      <c r="P82" s="894"/>
      <c r="Q82" s="894"/>
      <c r="R82" s="894"/>
      <c r="S82" s="894"/>
      <c r="T82" s="894"/>
      <c r="U82" s="1063"/>
    </row>
    <row r="83" spans="15:21" ht="13.5">
      <c r="O83" s="1062"/>
      <c r="P83" s="894"/>
      <c r="Q83" s="894"/>
      <c r="R83" s="894"/>
      <c r="S83" s="894"/>
      <c r="T83" s="894"/>
      <c r="U83" s="1063"/>
    </row>
    <row r="84" spans="15:21" ht="13.5">
      <c r="O84" s="1062"/>
      <c r="P84" s="894"/>
      <c r="Q84" s="894"/>
      <c r="R84" s="894"/>
      <c r="S84" s="894"/>
      <c r="T84" s="894"/>
      <c r="U84" s="1063"/>
    </row>
    <row r="85" spans="15:21" ht="13.5">
      <c r="O85" s="1062"/>
      <c r="P85" s="894"/>
      <c r="Q85" s="894"/>
      <c r="R85" s="894"/>
      <c r="S85" s="894"/>
      <c r="T85" s="894"/>
      <c r="U85" s="1063"/>
    </row>
    <row r="86" spans="15:21" ht="13.5">
      <c r="O86" s="1062"/>
      <c r="P86" s="894"/>
      <c r="Q86" s="894"/>
      <c r="R86" s="894"/>
      <c r="S86" s="894"/>
      <c r="T86" s="894"/>
      <c r="U86" s="1063"/>
    </row>
    <row r="87" spans="15:21" ht="13.5">
      <c r="O87" s="1062"/>
      <c r="P87" s="894"/>
      <c r="Q87" s="894"/>
      <c r="R87" s="894"/>
      <c r="S87" s="894"/>
      <c r="T87" s="894"/>
      <c r="U87" s="1063"/>
    </row>
    <row r="88" spans="15:21" ht="13.5">
      <c r="O88" s="1062"/>
      <c r="P88" s="894"/>
      <c r="Q88" s="894"/>
      <c r="R88" s="894"/>
      <c r="S88" s="894"/>
      <c r="T88" s="894"/>
      <c r="U88" s="1063"/>
    </row>
    <row r="89" spans="15:21" ht="13.5">
      <c r="O89" s="1062"/>
      <c r="P89" s="894"/>
      <c r="Q89" s="894"/>
      <c r="R89" s="894"/>
      <c r="S89" s="894"/>
      <c r="T89" s="894"/>
      <c r="U89" s="1063"/>
    </row>
    <row r="90" spans="15:21" ht="13.5">
      <c r="O90" s="1062"/>
      <c r="P90" s="894"/>
      <c r="Q90" s="894"/>
      <c r="R90" s="894"/>
      <c r="S90" s="894"/>
      <c r="T90" s="894"/>
      <c r="U90" s="1063"/>
    </row>
    <row r="91" spans="15:21" ht="13.5">
      <c r="O91" s="1062"/>
      <c r="P91" s="894"/>
      <c r="Q91" s="894"/>
      <c r="R91" s="894"/>
      <c r="S91" s="894"/>
      <c r="T91" s="894"/>
      <c r="U91" s="1063"/>
    </row>
    <row r="92" spans="15:21" ht="13.5">
      <c r="O92" s="1062"/>
      <c r="P92" s="894"/>
      <c r="Q92" s="894"/>
      <c r="R92" s="894"/>
      <c r="S92" s="894"/>
      <c r="T92" s="894"/>
      <c r="U92" s="1063"/>
    </row>
    <row r="93" spans="15:21" ht="13.5">
      <c r="O93" s="1062"/>
      <c r="P93" s="894"/>
      <c r="Q93" s="894"/>
      <c r="R93" s="894"/>
      <c r="S93" s="894"/>
      <c r="T93" s="894"/>
      <c r="U93" s="1063"/>
    </row>
    <row r="94" spans="15:21" ht="13.5">
      <c r="O94" s="1062"/>
      <c r="P94" s="894"/>
      <c r="Q94" s="894"/>
      <c r="R94" s="894"/>
      <c r="S94" s="894"/>
      <c r="T94" s="894"/>
      <c r="U94" s="1063"/>
    </row>
    <row r="95" spans="15:21" ht="13.5">
      <c r="O95" s="1062"/>
      <c r="P95" s="894"/>
      <c r="Q95" s="894"/>
      <c r="R95" s="894"/>
      <c r="S95" s="894"/>
      <c r="T95" s="894"/>
      <c r="U95" s="1063"/>
    </row>
    <row r="96" spans="15:21" ht="13.5">
      <c r="O96" s="1062"/>
      <c r="P96" s="894"/>
      <c r="Q96" s="894"/>
      <c r="R96" s="894"/>
      <c r="S96" s="894"/>
      <c r="T96" s="894"/>
      <c r="U96" s="1063"/>
    </row>
    <row r="97" spans="15:21" ht="13.5">
      <c r="O97" s="1062"/>
      <c r="P97" s="894"/>
      <c r="Q97" s="894"/>
      <c r="R97" s="894"/>
      <c r="S97" s="894"/>
      <c r="T97" s="894"/>
      <c r="U97" s="1063"/>
    </row>
    <row r="98" spans="15:21" ht="13.5">
      <c r="O98" s="1062"/>
      <c r="P98" s="894"/>
      <c r="Q98" s="894"/>
      <c r="R98" s="894"/>
      <c r="S98" s="894"/>
      <c r="T98" s="894"/>
      <c r="U98" s="1063"/>
    </row>
    <row r="99" spans="15:21" ht="13.5">
      <c r="O99" s="1062"/>
      <c r="P99" s="894"/>
      <c r="Q99" s="894"/>
      <c r="R99" s="894"/>
      <c r="S99" s="894"/>
      <c r="T99" s="894"/>
      <c r="U99" s="1063"/>
    </row>
    <row r="100" spans="15:21" ht="13.5">
      <c r="O100" s="1062"/>
      <c r="P100" s="894"/>
      <c r="Q100" s="894"/>
      <c r="R100" s="894"/>
      <c r="S100" s="894"/>
      <c r="T100" s="894"/>
      <c r="U100" s="1063"/>
    </row>
    <row r="101" spans="15:21" ht="13.5">
      <c r="O101" s="1062"/>
      <c r="P101" s="894"/>
      <c r="Q101" s="894"/>
      <c r="R101" s="894"/>
      <c r="S101" s="894"/>
      <c r="T101" s="894"/>
      <c r="U101" s="1063"/>
    </row>
    <row r="102" spans="15:21" ht="13.5">
      <c r="O102" s="1062"/>
      <c r="P102" s="894"/>
      <c r="Q102" s="894"/>
      <c r="R102" s="894"/>
      <c r="S102" s="894"/>
      <c r="T102" s="894"/>
      <c r="U102" s="1063"/>
    </row>
    <row r="103" spans="15:21" ht="15" thickBot="1">
      <c r="O103" s="1064"/>
      <c r="P103" s="1065"/>
      <c r="Q103" s="1065"/>
      <c r="R103" s="1065"/>
      <c r="S103" s="1065"/>
      <c r="T103" s="1065"/>
      <c r="U103" s="1066"/>
    </row>
    <row r="104" ht="15" thickTop="1"/>
  </sheetData>
  <sheetProtection password="CB21" sheet="1"/>
  <mergeCells count="139">
    <mergeCell ref="AC26:AM26"/>
    <mergeCell ref="AC40:AN40"/>
    <mergeCell ref="W2:Y2"/>
    <mergeCell ref="U2:V2"/>
    <mergeCell ref="AB22:AQ22"/>
    <mergeCell ref="AL33:AM33"/>
    <mergeCell ref="AL34:AM34"/>
    <mergeCell ref="AL35:AM35"/>
    <mergeCell ref="AL36:AM36"/>
    <mergeCell ref="AL37:AM37"/>
    <mergeCell ref="AL38:AM38"/>
    <mergeCell ref="AI36:AK36"/>
    <mergeCell ref="AI37:AK37"/>
    <mergeCell ref="AI38:AK38"/>
    <mergeCell ref="AI39:AK39"/>
    <mergeCell ref="AL39:AM39"/>
    <mergeCell ref="AL27:AM27"/>
    <mergeCell ref="AL28:AM28"/>
    <mergeCell ref="AL29:AM29"/>
    <mergeCell ref="AL30:AM30"/>
    <mergeCell ref="AL31:AM31"/>
    <mergeCell ref="AL32:AM32"/>
    <mergeCell ref="AC39:AH39"/>
    <mergeCell ref="AI27:AK27"/>
    <mergeCell ref="AI28:AK28"/>
    <mergeCell ref="AI29:AK29"/>
    <mergeCell ref="AI30:AK30"/>
    <mergeCell ref="AI31:AK31"/>
    <mergeCell ref="AI32:AK32"/>
    <mergeCell ref="AI33:AK33"/>
    <mergeCell ref="AI34:AK34"/>
    <mergeCell ref="AI35:AK35"/>
    <mergeCell ref="AC27:AH27"/>
    <mergeCell ref="AC28:AH28"/>
    <mergeCell ref="AC29:AH29"/>
    <mergeCell ref="AC30:AH30"/>
    <mergeCell ref="AC31:AH31"/>
    <mergeCell ref="AC32:AH32"/>
    <mergeCell ref="AC33:AH33"/>
    <mergeCell ref="AC34:AH34"/>
    <mergeCell ref="AC35:AH35"/>
    <mergeCell ref="AC36:AH36"/>
    <mergeCell ref="A9:E9"/>
    <mergeCell ref="F9:I9"/>
    <mergeCell ref="A23:I24"/>
    <mergeCell ref="A35:E35"/>
    <mergeCell ref="F35:I35"/>
    <mergeCell ref="AB15:AE15"/>
    <mergeCell ref="AC37:AH37"/>
    <mergeCell ref="AC38:AH38"/>
    <mergeCell ref="M2:P2"/>
    <mergeCell ref="A65:I65"/>
    <mergeCell ref="AK16:AM17"/>
    <mergeCell ref="AP16:AQ17"/>
    <mergeCell ref="AK18:AM19"/>
    <mergeCell ref="AP18:AQ19"/>
    <mergeCell ref="AK14:AQ15"/>
    <mergeCell ref="A2:L2"/>
    <mergeCell ref="AK6:AQ7"/>
    <mergeCell ref="AK8:AM13"/>
    <mergeCell ref="AP8:AQ8"/>
    <mergeCell ref="AP9:AQ9"/>
    <mergeCell ref="AP10:AQ10"/>
    <mergeCell ref="AP11:AQ11"/>
    <mergeCell ref="AP12:AQ12"/>
    <mergeCell ref="AP13:AQ13"/>
    <mergeCell ref="AH12:AI13"/>
    <mergeCell ref="AB17:AE18"/>
    <mergeCell ref="AB19:AE20"/>
    <mergeCell ref="AH15:AI15"/>
    <mergeCell ref="AH16:AI16"/>
    <mergeCell ref="AH19:AI20"/>
    <mergeCell ref="AB14:AI14"/>
    <mergeCell ref="AH17:AI18"/>
    <mergeCell ref="AB16:AE16"/>
    <mergeCell ref="AB12:AE13"/>
    <mergeCell ref="AB7:AI7"/>
    <mergeCell ref="AH8:AI8"/>
    <mergeCell ref="AH9:AI9"/>
    <mergeCell ref="AB8:AE8"/>
    <mergeCell ref="AB9:AE9"/>
    <mergeCell ref="AB10:AE11"/>
    <mergeCell ref="AH10:AI11"/>
    <mergeCell ref="AB6:AI6"/>
    <mergeCell ref="F66:I66"/>
    <mergeCell ref="E29:I29"/>
    <mergeCell ref="E30:I30"/>
    <mergeCell ref="U62:U63"/>
    <mergeCell ref="A59:I59"/>
    <mergeCell ref="E60:I60"/>
    <mergeCell ref="E61:I61"/>
    <mergeCell ref="E31:I31"/>
    <mergeCell ref="E18:I18"/>
    <mergeCell ref="O73:U74"/>
    <mergeCell ref="A33:I33"/>
    <mergeCell ref="A34:F34"/>
    <mergeCell ref="A42:F42"/>
    <mergeCell ref="E62:I62"/>
    <mergeCell ref="A17:I17"/>
    <mergeCell ref="A25:I25"/>
    <mergeCell ref="A26:F26"/>
    <mergeCell ref="A27:I27"/>
    <mergeCell ref="E28:I28"/>
    <mergeCell ref="O75:U103"/>
    <mergeCell ref="E45:I45"/>
    <mergeCell ref="A41:I41"/>
    <mergeCell ref="Q60:T61"/>
    <mergeCell ref="E44:I44"/>
    <mergeCell ref="O60:O61"/>
    <mergeCell ref="U60:U61"/>
    <mergeCell ref="E52:I52"/>
    <mergeCell ref="E53:I53"/>
    <mergeCell ref="E54:I54"/>
    <mergeCell ref="A1:X1"/>
    <mergeCell ref="O58:U58"/>
    <mergeCell ref="M3:Q3"/>
    <mergeCell ref="U3:X3"/>
    <mergeCell ref="A49:I49"/>
    <mergeCell ref="U4:X4"/>
    <mergeCell ref="A7:I7"/>
    <mergeCell ref="E55:I55"/>
    <mergeCell ref="A57:I57"/>
    <mergeCell ref="A4:I6"/>
    <mergeCell ref="A58:F58"/>
    <mergeCell ref="A43:I43"/>
    <mergeCell ref="E19:I19"/>
    <mergeCell ref="E20:I20"/>
    <mergeCell ref="E21:I21"/>
    <mergeCell ref="A15:I15"/>
    <mergeCell ref="Q59:T59"/>
    <mergeCell ref="O62:O63"/>
    <mergeCell ref="E63:I63"/>
    <mergeCell ref="A3:I3"/>
    <mergeCell ref="M4:Q4"/>
    <mergeCell ref="E46:I46"/>
    <mergeCell ref="E47:I47"/>
    <mergeCell ref="Q62:T63"/>
    <mergeCell ref="A50:F50"/>
    <mergeCell ref="A51:I51"/>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G11" activePane="bottomRight" state="frozen"/>
      <selection pane="topLeft" activeCell="A84" sqref="A84"/>
      <selection pane="topRight" activeCell="A84" sqref="A84"/>
      <selection pane="bottomLeft" activeCell="A84" sqref="A84"/>
      <selection pane="bottomRight" activeCell="G18" sqref="G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73" t="s">
        <v>17</v>
      </c>
      <c r="B1" s="774"/>
      <c r="C1" s="775"/>
      <c r="D1" s="775"/>
      <c r="E1" s="775"/>
      <c r="F1" s="775"/>
      <c r="G1" s="775"/>
      <c r="H1" s="775"/>
      <c r="I1" s="775"/>
      <c r="J1" s="775"/>
      <c r="K1" s="775"/>
      <c r="L1" s="775"/>
      <c r="M1" s="775"/>
      <c r="N1" s="775"/>
      <c r="O1" s="775"/>
      <c r="P1" s="775"/>
      <c r="Q1" s="775"/>
      <c r="R1" s="775"/>
      <c r="S1" s="775"/>
      <c r="T1" s="776"/>
    </row>
    <row r="2" spans="1:20" s="206" customFormat="1" ht="26.25" customHeight="1">
      <c r="A2" s="413"/>
      <c r="B2" s="786" t="s">
        <v>460</v>
      </c>
      <c r="C2" s="787"/>
      <c r="D2" s="787"/>
      <c r="E2" s="787"/>
      <c r="F2" s="787"/>
      <c r="G2" s="725"/>
      <c r="H2" s="725"/>
      <c r="I2" s="725"/>
      <c r="J2" s="725"/>
      <c r="K2" s="725"/>
      <c r="L2" s="725"/>
      <c r="M2" s="725"/>
      <c r="N2" s="725"/>
      <c r="O2" s="725"/>
      <c r="P2" s="725"/>
      <c r="Q2" s="725"/>
      <c r="R2" s="725"/>
      <c r="S2" s="725"/>
      <c r="T2" s="726"/>
    </row>
    <row r="3" spans="1:20" s="206" customFormat="1" ht="23.25" customHeight="1" thickBot="1">
      <c r="A3" s="413"/>
      <c r="B3" s="742" t="s">
        <v>459</v>
      </c>
      <c r="C3" s="743"/>
      <c r="D3" s="743"/>
      <c r="E3" s="743"/>
      <c r="F3" s="743"/>
      <c r="G3" s="738"/>
      <c r="H3" s="738"/>
      <c r="I3" s="738"/>
      <c r="J3" s="738"/>
      <c r="K3" s="738"/>
      <c r="L3" s="738"/>
      <c r="M3" s="738"/>
      <c r="N3" s="738"/>
      <c r="O3" s="738"/>
      <c r="P3" s="738"/>
      <c r="Q3" s="738"/>
      <c r="R3" s="738"/>
      <c r="S3" s="738"/>
      <c r="T3" s="739"/>
    </row>
    <row r="4" spans="2:26" ht="46.5" customHeight="1" thickBot="1">
      <c r="B4" s="735" t="s">
        <v>662</v>
      </c>
      <c r="C4" s="735"/>
      <c r="D4" s="735"/>
      <c r="E4" s="735"/>
      <c r="F4" s="735"/>
      <c r="G4" s="735"/>
      <c r="H4" s="735"/>
      <c r="I4" s="735"/>
      <c r="J4" s="735"/>
      <c r="K4" s="735"/>
      <c r="L4" s="735"/>
      <c r="M4" s="735"/>
      <c r="N4" s="735"/>
      <c r="O4" s="735"/>
      <c r="P4" s="735"/>
      <c r="Q4" s="735"/>
      <c r="R4" s="735"/>
      <c r="S4" s="735"/>
      <c r="T4" s="735"/>
      <c r="U4" s="279"/>
      <c r="V4" s="280"/>
      <c r="W4" s="752" t="s">
        <v>248</v>
      </c>
      <c r="X4" s="753"/>
      <c r="Y4" s="753"/>
      <c r="Z4" s="754"/>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72" t="s">
        <v>455</v>
      </c>
      <c r="D6" s="747"/>
      <c r="E6" s="747"/>
      <c r="F6" s="747" t="s">
        <v>595</v>
      </c>
      <c r="G6" s="747"/>
      <c r="H6" s="747" t="s">
        <v>456</v>
      </c>
      <c r="I6" s="747"/>
      <c r="J6" s="747"/>
      <c r="K6" s="747"/>
      <c r="L6" s="747"/>
      <c r="M6" s="747"/>
      <c r="N6" s="747"/>
      <c r="O6" s="747"/>
      <c r="P6" s="747"/>
      <c r="Q6" s="747"/>
      <c r="R6" s="747"/>
      <c r="S6" s="747"/>
      <c r="T6" s="747"/>
      <c r="U6" s="173"/>
      <c r="V6" s="173"/>
      <c r="W6" s="755" t="s">
        <v>240</v>
      </c>
      <c r="X6" s="333">
        <v>1</v>
      </c>
      <c r="Y6" s="333">
        <f>INDEX(Cups,X6)</f>
        <v>0</v>
      </c>
      <c r="Z6" s="345"/>
    </row>
    <row r="7" spans="2:26" s="428" customFormat="1" ht="16.5" customHeight="1">
      <c r="B7" s="729">
        <v>1</v>
      </c>
      <c r="C7" s="730"/>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6"/>
      <c r="X7" s="430"/>
      <c r="Y7" s="430"/>
      <c r="Z7" s="431"/>
    </row>
    <row r="8" spans="2:26" s="23" customFormat="1" ht="48" customHeight="1">
      <c r="B8" s="782" t="s">
        <v>246</v>
      </c>
      <c r="C8" s="783"/>
      <c r="D8" s="432" t="s">
        <v>540</v>
      </c>
      <c r="E8" s="744" t="s">
        <v>735</v>
      </c>
      <c r="F8" s="745"/>
      <c r="G8" s="746"/>
      <c r="H8" s="779" t="s">
        <v>541</v>
      </c>
      <c r="I8" s="780"/>
      <c r="J8" s="780"/>
      <c r="K8" s="781"/>
      <c r="L8" s="433"/>
      <c r="M8" s="433"/>
      <c r="N8" s="769" t="s">
        <v>542</v>
      </c>
      <c r="O8" s="770"/>
      <c r="P8" s="770"/>
      <c r="Q8" s="771"/>
      <c r="R8" s="433"/>
      <c r="S8" s="433"/>
      <c r="T8" s="469" t="s">
        <v>543</v>
      </c>
      <c r="U8" s="173"/>
      <c r="V8" s="173"/>
      <c r="W8" s="756"/>
      <c r="X8" s="333">
        <v>1</v>
      </c>
      <c r="Y8" s="333">
        <f>INDEX(Cups,X8)</f>
        <v>0</v>
      </c>
      <c r="Z8" s="346"/>
    </row>
    <row r="9" spans="1:26" ht="30.75" customHeight="1">
      <c r="A9" s="27"/>
      <c r="B9" s="782"/>
      <c r="C9" s="783"/>
      <c r="D9" s="733" t="s">
        <v>326</v>
      </c>
      <c r="E9" s="740" t="s">
        <v>736</v>
      </c>
      <c r="F9" s="731" t="s">
        <v>327</v>
      </c>
      <c r="G9" s="790" t="s">
        <v>329</v>
      </c>
      <c r="H9" s="748" t="s">
        <v>571</v>
      </c>
      <c r="I9" s="177" t="s">
        <v>5</v>
      </c>
      <c r="J9" s="177" t="s">
        <v>6</v>
      </c>
      <c r="K9" s="777" t="s">
        <v>99</v>
      </c>
      <c r="L9" s="174" t="s">
        <v>92</v>
      </c>
      <c r="M9" s="174" t="s">
        <v>93</v>
      </c>
      <c r="N9" s="727" t="s">
        <v>572</v>
      </c>
      <c r="O9" s="175" t="s">
        <v>7</v>
      </c>
      <c r="P9" s="176" t="s">
        <v>8</v>
      </c>
      <c r="Q9" s="788" t="s">
        <v>553</v>
      </c>
      <c r="R9" s="490" t="s">
        <v>554</v>
      </c>
      <c r="S9" s="490" t="s">
        <v>555</v>
      </c>
      <c r="T9" s="763" t="s">
        <v>328</v>
      </c>
      <c r="U9" s="201"/>
      <c r="V9" s="201"/>
      <c r="W9" s="756"/>
      <c r="X9" s="333">
        <v>1</v>
      </c>
      <c r="Y9" s="333">
        <f>INDEX(Cups,X9)</f>
        <v>0</v>
      </c>
      <c r="Z9" s="346"/>
    </row>
    <row r="10" spans="1:26" s="1" customFormat="1" ht="63" customHeight="1">
      <c r="A10" s="27"/>
      <c r="B10" s="784"/>
      <c r="C10" s="785"/>
      <c r="D10" s="734"/>
      <c r="E10" s="741"/>
      <c r="F10" s="732"/>
      <c r="G10" s="791"/>
      <c r="H10" s="749"/>
      <c r="I10" s="177"/>
      <c r="J10" s="177"/>
      <c r="K10" s="778"/>
      <c r="L10" s="65"/>
      <c r="M10" s="65"/>
      <c r="N10" s="728"/>
      <c r="O10" s="496"/>
      <c r="P10" s="83"/>
      <c r="Q10" s="789"/>
      <c r="R10" s="491"/>
      <c r="S10" s="491"/>
      <c r="T10" s="764"/>
      <c r="U10" s="85"/>
      <c r="V10" s="85"/>
      <c r="W10" s="756"/>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6"/>
      <c r="X11" s="333">
        <v>1</v>
      </c>
      <c r="Y11" s="333">
        <f>INDEX(Cups,X11)</f>
        <v>0</v>
      </c>
      <c r="Z11" s="767">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6"/>
      <c r="X12" s="266"/>
      <c r="Y12" s="267"/>
      <c r="Z12" s="767"/>
    </row>
    <row r="13" spans="1:26" ht="32.25" customHeight="1" thickBot="1">
      <c r="A13" s="27">
        <v>2</v>
      </c>
      <c r="B13" s="702">
        <v>1</v>
      </c>
      <c r="C13" s="684" t="s">
        <v>795</v>
      </c>
      <c r="D13" s="685">
        <v>2</v>
      </c>
      <c r="E13" s="681">
        <v>2</v>
      </c>
      <c r="F13" s="682">
        <v>1</v>
      </c>
      <c r="G13" s="683">
        <v>1</v>
      </c>
      <c r="H13" s="239"/>
      <c r="I13" s="97">
        <v>9</v>
      </c>
      <c r="J13" s="282">
        <f>IF(I13=1,"",INDEX(Cups,I13))</f>
        <v>1</v>
      </c>
      <c r="K13" s="240"/>
      <c r="L13" s="81">
        <v>1</v>
      </c>
      <c r="M13" s="81">
        <f t="shared" si="0"/>
      </c>
      <c r="N13" s="239"/>
      <c r="O13" s="414">
        <v>13</v>
      </c>
      <c r="P13" s="84">
        <f t="shared" si="1"/>
        <v>1.5</v>
      </c>
      <c r="Q13" s="675"/>
      <c r="R13" s="81">
        <v>1</v>
      </c>
      <c r="S13" s="459">
        <f t="shared" si="2"/>
      </c>
      <c r="T13" s="340">
        <v>1</v>
      </c>
      <c r="U13" s="85"/>
      <c r="V13" s="85"/>
      <c r="W13" s="757"/>
      <c r="X13" s="266"/>
      <c r="Y13" s="266"/>
      <c r="Z13" s="768"/>
    </row>
    <row r="14" spans="1:26" ht="32.25" customHeight="1" thickBot="1">
      <c r="A14" s="27">
        <v>3</v>
      </c>
      <c r="B14" s="702">
        <v>2</v>
      </c>
      <c r="C14" s="684" t="s">
        <v>796</v>
      </c>
      <c r="D14" s="685">
        <v>2</v>
      </c>
      <c r="E14" s="681">
        <v>2.5</v>
      </c>
      <c r="F14" s="682">
        <v>1</v>
      </c>
      <c r="G14" s="683">
        <v>0</v>
      </c>
      <c r="H14" s="341"/>
      <c r="I14" s="332">
        <v>9</v>
      </c>
      <c r="J14" s="282">
        <f aca="true" t="shared" si="3" ref="J14:J44">IF(I14=1,"",INDEX(Cups,I14))</f>
        <v>1</v>
      </c>
      <c r="K14" s="240"/>
      <c r="L14" s="81">
        <v>5</v>
      </c>
      <c r="M14" s="81">
        <f t="shared" si="0"/>
        <v>0.5</v>
      </c>
      <c r="N14" s="341"/>
      <c r="O14" s="332">
        <v>11</v>
      </c>
      <c r="P14" s="80">
        <f t="shared" si="1"/>
        <v>1.25</v>
      </c>
      <c r="Q14" s="240"/>
      <c r="R14" s="81">
        <v>1</v>
      </c>
      <c r="S14" s="81">
        <f t="shared" si="2"/>
      </c>
      <c r="T14" s="618">
        <v>1</v>
      </c>
      <c r="U14" s="85"/>
      <c r="V14" s="85"/>
      <c r="W14" s="758" t="s">
        <v>457</v>
      </c>
      <c r="X14" s="759"/>
      <c r="Y14" s="759"/>
      <c r="Z14" s="760"/>
    </row>
    <row r="15" spans="1:26" ht="32.25" customHeight="1">
      <c r="A15" s="27">
        <v>4</v>
      </c>
      <c r="B15" s="702">
        <v>3</v>
      </c>
      <c r="C15" s="684" t="s">
        <v>797</v>
      </c>
      <c r="D15" s="622">
        <v>2</v>
      </c>
      <c r="E15" s="615">
        <v>2.25</v>
      </c>
      <c r="F15" s="616">
        <v>2.25</v>
      </c>
      <c r="G15" s="617">
        <v>0</v>
      </c>
      <c r="H15" s="341"/>
      <c r="I15" s="332">
        <v>9</v>
      </c>
      <c r="J15" s="282">
        <f t="shared" si="3"/>
        <v>1</v>
      </c>
      <c r="K15" s="240"/>
      <c r="L15" s="81">
        <v>1</v>
      </c>
      <c r="M15" s="81">
        <f t="shared" si="0"/>
      </c>
      <c r="N15" s="341"/>
      <c r="O15" s="332">
        <v>12</v>
      </c>
      <c r="P15" s="80">
        <f t="shared" si="1"/>
        <v>1.375</v>
      </c>
      <c r="Q15" s="240"/>
      <c r="R15" s="81">
        <v>1</v>
      </c>
      <c r="S15" s="81">
        <f t="shared" si="2"/>
      </c>
      <c r="T15" s="618">
        <v>1</v>
      </c>
      <c r="U15" s="85"/>
      <c r="V15" s="85"/>
      <c r="W15" s="761" t="s">
        <v>239</v>
      </c>
      <c r="X15" s="271"/>
      <c r="Y15" s="272"/>
      <c r="Z15" s="765"/>
    </row>
    <row r="16" spans="1:26" ht="32.25" customHeight="1">
      <c r="A16" s="27">
        <v>5</v>
      </c>
      <c r="B16" s="702">
        <v>4</v>
      </c>
      <c r="C16" s="684" t="s">
        <v>798</v>
      </c>
      <c r="D16" s="622">
        <v>3</v>
      </c>
      <c r="E16" s="615">
        <v>2.5</v>
      </c>
      <c r="F16" s="616">
        <v>2.5</v>
      </c>
      <c r="G16" s="617">
        <v>0</v>
      </c>
      <c r="H16" s="341"/>
      <c r="I16" s="332">
        <v>9</v>
      </c>
      <c r="J16" s="282">
        <f t="shared" si="3"/>
        <v>1</v>
      </c>
      <c r="K16" s="240"/>
      <c r="L16" s="81">
        <v>1</v>
      </c>
      <c r="M16" s="81">
        <f t="shared" si="0"/>
      </c>
      <c r="N16" s="341"/>
      <c r="O16" s="332">
        <v>9</v>
      </c>
      <c r="P16" s="80">
        <f t="shared" si="1"/>
        <v>1</v>
      </c>
      <c r="Q16" s="240"/>
      <c r="R16" s="81">
        <v>1</v>
      </c>
      <c r="S16" s="81">
        <f t="shared" si="2"/>
      </c>
      <c r="T16" s="618">
        <v>1</v>
      </c>
      <c r="U16" s="85"/>
      <c r="V16" s="85"/>
      <c r="W16" s="762"/>
      <c r="X16" s="273"/>
      <c r="Y16" s="274"/>
      <c r="Z16" s="766"/>
    </row>
    <row r="17" spans="1:26" ht="32.25" customHeight="1">
      <c r="A17" s="27">
        <v>6</v>
      </c>
      <c r="B17" s="702">
        <v>5</v>
      </c>
      <c r="C17" s="684" t="s">
        <v>799</v>
      </c>
      <c r="D17" s="622">
        <v>3</v>
      </c>
      <c r="E17" s="615">
        <v>2.5</v>
      </c>
      <c r="F17" s="616">
        <v>0</v>
      </c>
      <c r="G17" s="617">
        <v>0</v>
      </c>
      <c r="H17" s="341"/>
      <c r="I17" s="332">
        <v>9</v>
      </c>
      <c r="J17" s="282">
        <f t="shared" si="3"/>
        <v>1</v>
      </c>
      <c r="K17" s="240"/>
      <c r="L17" s="81">
        <v>1</v>
      </c>
      <c r="M17" s="81">
        <f t="shared" si="0"/>
      </c>
      <c r="N17" s="341"/>
      <c r="O17" s="332">
        <v>9</v>
      </c>
      <c r="P17" s="80">
        <f t="shared" si="1"/>
        <v>1</v>
      </c>
      <c r="Q17" s="240"/>
      <c r="R17" s="81">
        <v>1</v>
      </c>
      <c r="S17" s="81">
        <f t="shared" si="2"/>
      </c>
      <c r="T17" s="618">
        <v>1</v>
      </c>
      <c r="U17" s="85"/>
      <c r="V17" s="85"/>
      <c r="W17" s="736" t="s">
        <v>237</v>
      </c>
      <c r="X17" s="275"/>
      <c r="Y17" s="276"/>
      <c r="Z17" s="750">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37"/>
      <c r="X18" s="277"/>
      <c r="Y18" s="278"/>
      <c r="Z18" s="751"/>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A1:T1"/>
    <mergeCell ref="H6:T6"/>
    <mergeCell ref="K9:K10"/>
    <mergeCell ref="H8:K8"/>
    <mergeCell ref="B8:C10"/>
    <mergeCell ref="B2:F2"/>
    <mergeCell ref="Q9:Q10"/>
    <mergeCell ref="G9:G10"/>
    <mergeCell ref="Z17:Z18"/>
    <mergeCell ref="W4:Z4"/>
    <mergeCell ref="W6:W13"/>
    <mergeCell ref="W14:Z14"/>
    <mergeCell ref="W15:W16"/>
    <mergeCell ref="T9:T10"/>
    <mergeCell ref="Z15:Z16"/>
    <mergeCell ref="Z11:Z13"/>
    <mergeCell ref="W17:W18"/>
    <mergeCell ref="G3:T3"/>
    <mergeCell ref="E9:E10"/>
    <mergeCell ref="B3:F3"/>
    <mergeCell ref="E8:G8"/>
    <mergeCell ref="F6:G6"/>
    <mergeCell ref="H9:H10"/>
    <mergeCell ref="N8:Q8"/>
    <mergeCell ref="C6:E6"/>
    <mergeCell ref="G2:T2"/>
    <mergeCell ref="N9:N10"/>
    <mergeCell ref="B7:C7"/>
    <mergeCell ref="F9:F10"/>
    <mergeCell ref="D9:D10"/>
    <mergeCell ref="B4:T4"/>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02" t="s">
        <v>513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4"/>
      <c r="AF1" s="859" t="s">
        <v>558</v>
      </c>
      <c r="AG1" s="859"/>
      <c r="AH1" s="859"/>
      <c r="AI1" s="859"/>
      <c r="AJ1" s="859"/>
    </row>
    <row r="2" spans="2:36" ht="69.75" customHeight="1" thickBot="1">
      <c r="B2" s="805" t="s">
        <v>738</v>
      </c>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7"/>
      <c r="AF2" s="808" t="s">
        <v>168</v>
      </c>
      <c r="AG2" s="808"/>
      <c r="AH2" s="808"/>
      <c r="AI2" s="530"/>
      <c r="AJ2" s="530"/>
    </row>
    <row r="3" spans="2:29" ht="24" customHeight="1" thickBot="1">
      <c r="B3" s="809" t="s">
        <v>337</v>
      </c>
      <c r="C3" s="260"/>
      <c r="D3" s="260"/>
      <c r="E3" s="839" t="s">
        <v>64</v>
      </c>
      <c r="F3" s="261"/>
      <c r="G3" s="261"/>
      <c r="H3" s="841" t="s">
        <v>338</v>
      </c>
      <c r="I3" s="374"/>
      <c r="J3" s="374"/>
      <c r="K3" s="841" t="s">
        <v>64</v>
      </c>
      <c r="L3" s="261"/>
      <c r="M3" s="261"/>
      <c r="N3" s="828" t="s">
        <v>339</v>
      </c>
      <c r="O3" s="376"/>
      <c r="P3" s="376"/>
      <c r="Q3" s="828" t="s">
        <v>64</v>
      </c>
      <c r="R3" s="261"/>
      <c r="S3" s="261"/>
      <c r="T3" s="830" t="s">
        <v>340</v>
      </c>
      <c r="U3" s="370"/>
      <c r="V3" s="370"/>
      <c r="W3" s="830" t="s">
        <v>64</v>
      </c>
      <c r="X3" s="261"/>
      <c r="Y3" s="261"/>
      <c r="Z3" s="832" t="s">
        <v>341</v>
      </c>
      <c r="AA3" s="372"/>
      <c r="AB3" s="262"/>
      <c r="AC3" s="834" t="s">
        <v>64</v>
      </c>
    </row>
    <row r="4" spans="2:36" ht="60.75" customHeight="1" thickBot="1">
      <c r="B4" s="810"/>
      <c r="C4" s="369" t="s">
        <v>65</v>
      </c>
      <c r="D4" s="369"/>
      <c r="E4" s="840"/>
      <c r="F4" s="302" t="s">
        <v>67</v>
      </c>
      <c r="G4" s="302" t="s">
        <v>68</v>
      </c>
      <c r="H4" s="842"/>
      <c r="I4" s="375" t="s">
        <v>71</v>
      </c>
      <c r="J4" s="375"/>
      <c r="K4" s="842"/>
      <c r="L4" s="302" t="s">
        <v>69</v>
      </c>
      <c r="M4" s="302" t="s">
        <v>70</v>
      </c>
      <c r="N4" s="829"/>
      <c r="O4" s="377" t="s">
        <v>72</v>
      </c>
      <c r="P4" s="377"/>
      <c r="Q4" s="829"/>
      <c r="R4" s="302" t="s">
        <v>73</v>
      </c>
      <c r="S4" s="302" t="s">
        <v>74</v>
      </c>
      <c r="T4" s="831"/>
      <c r="U4" s="371" t="s">
        <v>75</v>
      </c>
      <c r="V4" s="371"/>
      <c r="W4" s="831"/>
      <c r="X4" s="302" t="s">
        <v>76</v>
      </c>
      <c r="Y4" s="302" t="s">
        <v>77</v>
      </c>
      <c r="Z4" s="833"/>
      <c r="AA4" s="373" t="s">
        <v>78</v>
      </c>
      <c r="AB4" s="303"/>
      <c r="AC4" s="835"/>
      <c r="AD4" s="85" t="s">
        <v>79</v>
      </c>
      <c r="AE4" s="85" t="s">
        <v>80</v>
      </c>
      <c r="AG4" s="752" t="s">
        <v>248</v>
      </c>
      <c r="AH4" s="753"/>
      <c r="AI4" s="753"/>
      <c r="AJ4" s="754"/>
    </row>
    <row r="5" spans="2:36" ht="34.5" customHeight="1" thickBot="1">
      <c r="B5" s="813">
        <f>IF(OR(COUNTIF(C6:C15,12)&gt;0,COUNTIF(C6:C15,2)&gt;0,COUNTIF(C6:C15,4)&gt;0,COUNTIF(C6:C15,10)&gt;0,COUNTIF(C6:C15,15)&gt;0,COUNTIF(C6:C15,17)&gt;0,),"Remember to enter CREDITABLE amounts of leafy greens!","")</f>
      </c>
      <c r="C5" s="814"/>
      <c r="D5" s="814"/>
      <c r="E5" s="815"/>
      <c r="F5" s="400"/>
      <c r="G5" s="400"/>
      <c r="H5" s="816">
        <f>IF(COUNTIF(I6:I15,10)&gt;0,"Remember to enter the CREDITABLE amount of tomato paste!","")</f>
      </c>
      <c r="I5" s="817"/>
      <c r="J5" s="817"/>
      <c r="K5" s="818"/>
      <c r="L5" s="400"/>
      <c r="M5" s="400"/>
      <c r="N5" s="819">
        <f>IF(SUM(O6:O15)&gt;10,"If crediting as a vegetable do not also credit as a meat/meat alternate","")</f>
      </c>
      <c r="O5" s="820"/>
      <c r="P5" s="820"/>
      <c r="Q5" s="821"/>
      <c r="R5" s="401"/>
      <c r="S5" s="401"/>
      <c r="T5" s="822"/>
      <c r="U5" s="823"/>
      <c r="V5" s="823"/>
      <c r="W5" s="824"/>
      <c r="X5" s="401"/>
      <c r="Y5" s="401"/>
      <c r="Z5" s="825"/>
      <c r="AA5" s="826"/>
      <c r="AB5" s="826"/>
      <c r="AC5" s="827"/>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5"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6"/>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6"/>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6"/>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6"/>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7"/>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8" t="s">
        <v>457</v>
      </c>
      <c r="AH12" s="759"/>
      <c r="AI12" s="759"/>
      <c r="AJ12" s="760"/>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11" t="s">
        <v>239</v>
      </c>
      <c r="AH13" s="410"/>
      <c r="AI13" s="410"/>
      <c r="AJ13" s="796"/>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12"/>
      <c r="AH14" s="409"/>
      <c r="AI14" s="409"/>
      <c r="AJ14" s="797"/>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12"/>
      <c r="AH15" s="409"/>
      <c r="AI15" s="409"/>
      <c r="AJ15" s="797"/>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798" t="s">
        <v>237</v>
      </c>
      <c r="AH16" s="409"/>
      <c r="AI16" s="409"/>
      <c r="AJ16" s="800">
        <f>FLOOR(AJ13,0.125)</f>
        <v>0</v>
      </c>
    </row>
    <row r="17" spans="2:36" ht="33.75" customHeight="1">
      <c r="B17" s="83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8"/>
      <c r="AG17" s="798"/>
      <c r="AH17" s="25"/>
      <c r="AI17" s="25"/>
      <c r="AJ17" s="800"/>
    </row>
    <row r="18" spans="2:36" ht="33.75" customHeight="1" thickBot="1">
      <c r="B18" s="843" t="s">
        <v>241</v>
      </c>
      <c r="C18" s="844"/>
      <c r="D18" s="844"/>
      <c r="E18" s="844"/>
      <c r="F18" s="286"/>
      <c r="G18" s="286"/>
      <c r="H18" s="845" t="s">
        <v>242</v>
      </c>
      <c r="I18" s="845"/>
      <c r="J18" s="845"/>
      <c r="K18" s="845"/>
      <c r="L18" s="286"/>
      <c r="M18" s="286"/>
      <c r="N18" s="846" t="s">
        <v>243</v>
      </c>
      <c r="O18" s="846"/>
      <c r="P18" s="846"/>
      <c r="Q18" s="846"/>
      <c r="R18" s="286"/>
      <c r="S18" s="286"/>
      <c r="T18" s="847" t="s">
        <v>244</v>
      </c>
      <c r="U18" s="847"/>
      <c r="V18" s="847"/>
      <c r="W18" s="847"/>
      <c r="X18" s="286"/>
      <c r="Y18" s="286"/>
      <c r="Z18" s="848" t="s">
        <v>245</v>
      </c>
      <c r="AA18" s="848"/>
      <c r="AB18" s="848"/>
      <c r="AC18" s="849"/>
      <c r="AG18" s="799"/>
      <c r="AH18" s="21"/>
      <c r="AI18" s="21"/>
      <c r="AJ18" s="801"/>
    </row>
    <row r="19" spans="2:29" ht="33.75" customHeight="1">
      <c r="B19" s="852"/>
      <c r="C19" s="853"/>
      <c r="D19" s="853"/>
      <c r="E19" s="853"/>
      <c r="F19" s="333"/>
      <c r="G19" s="333"/>
      <c r="H19" s="854"/>
      <c r="I19" s="854"/>
      <c r="J19" s="854"/>
      <c r="K19" s="854"/>
      <c r="L19" s="333"/>
      <c r="M19" s="333"/>
      <c r="N19" s="855"/>
      <c r="O19" s="855"/>
      <c r="P19" s="855"/>
      <c r="Q19" s="855"/>
      <c r="R19" s="333"/>
      <c r="S19" s="333"/>
      <c r="T19" s="856"/>
      <c r="U19" s="856"/>
      <c r="V19" s="856"/>
      <c r="W19" s="856"/>
      <c r="X19" s="333"/>
      <c r="Y19" s="333"/>
      <c r="Z19" s="850"/>
      <c r="AA19" s="850"/>
      <c r="AB19" s="850"/>
      <c r="AC19" s="851"/>
    </row>
    <row r="20" spans="2:29" ht="33.75" customHeight="1">
      <c r="B20" s="852"/>
      <c r="C20" s="853"/>
      <c r="D20" s="853"/>
      <c r="E20" s="853"/>
      <c r="F20" s="333"/>
      <c r="G20" s="333"/>
      <c r="H20" s="854"/>
      <c r="I20" s="854"/>
      <c r="J20" s="854"/>
      <c r="K20" s="854"/>
      <c r="L20" s="333"/>
      <c r="M20" s="333"/>
      <c r="N20" s="855"/>
      <c r="O20" s="855"/>
      <c r="P20" s="855"/>
      <c r="Q20" s="855"/>
      <c r="R20" s="333"/>
      <c r="S20" s="333"/>
      <c r="T20" s="856"/>
      <c r="U20" s="856"/>
      <c r="V20" s="856"/>
      <c r="W20" s="856"/>
      <c r="X20" s="333"/>
      <c r="Y20" s="333"/>
      <c r="Z20" s="850"/>
      <c r="AA20" s="850"/>
      <c r="AB20" s="850"/>
      <c r="AC20" s="851"/>
    </row>
    <row r="21" spans="2:29" ht="33.75" customHeight="1">
      <c r="B21" s="857"/>
      <c r="C21" s="858"/>
      <c r="D21" s="858"/>
      <c r="E21" s="858"/>
      <c r="F21" s="333"/>
      <c r="G21" s="333"/>
      <c r="H21" s="854"/>
      <c r="I21" s="854"/>
      <c r="J21" s="854"/>
      <c r="K21" s="854"/>
      <c r="L21" s="333"/>
      <c r="M21" s="333"/>
      <c r="N21" s="855"/>
      <c r="O21" s="855"/>
      <c r="P21" s="855"/>
      <c r="Q21" s="855"/>
      <c r="R21" s="333"/>
      <c r="S21" s="333"/>
      <c r="T21" s="856"/>
      <c r="U21" s="856"/>
      <c r="V21" s="856"/>
      <c r="W21" s="856"/>
      <c r="X21" s="333"/>
      <c r="Y21" s="333"/>
      <c r="Z21" s="850"/>
      <c r="AA21" s="850"/>
      <c r="AB21" s="850"/>
      <c r="AC21" s="851"/>
    </row>
    <row r="22" spans="2:29" ht="33.75" customHeight="1">
      <c r="B22" s="857"/>
      <c r="C22" s="858"/>
      <c r="D22" s="858"/>
      <c r="E22" s="858"/>
      <c r="F22" s="333"/>
      <c r="G22" s="333"/>
      <c r="H22" s="854"/>
      <c r="I22" s="854"/>
      <c r="J22" s="854"/>
      <c r="K22" s="854"/>
      <c r="L22" s="333"/>
      <c r="M22" s="333"/>
      <c r="N22" s="855"/>
      <c r="O22" s="855"/>
      <c r="P22" s="855"/>
      <c r="Q22" s="855"/>
      <c r="R22" s="333"/>
      <c r="S22" s="333"/>
      <c r="T22" s="856"/>
      <c r="U22" s="856"/>
      <c r="V22" s="856"/>
      <c r="W22" s="856"/>
      <c r="X22" s="333"/>
      <c r="Y22" s="333"/>
      <c r="Z22" s="850"/>
      <c r="AA22" s="850"/>
      <c r="AB22" s="850"/>
      <c r="AC22" s="851"/>
    </row>
    <row r="23" spans="2:29" ht="33.75" customHeight="1" thickBot="1">
      <c r="B23" s="860"/>
      <c r="C23" s="861"/>
      <c r="D23" s="861"/>
      <c r="E23" s="861"/>
      <c r="F23" s="98"/>
      <c r="G23" s="98"/>
      <c r="H23" s="862"/>
      <c r="I23" s="862"/>
      <c r="J23" s="862"/>
      <c r="K23" s="862"/>
      <c r="L23" s="98"/>
      <c r="M23" s="98"/>
      <c r="N23" s="863"/>
      <c r="O23" s="863"/>
      <c r="P23" s="863"/>
      <c r="Q23" s="863"/>
      <c r="R23" s="98"/>
      <c r="S23" s="98"/>
      <c r="T23" s="864"/>
      <c r="U23" s="864"/>
      <c r="V23" s="864"/>
      <c r="W23" s="864"/>
      <c r="X23" s="98"/>
      <c r="Y23" s="98"/>
      <c r="Z23" s="865"/>
      <c r="AA23" s="865"/>
      <c r="AB23" s="865"/>
      <c r="AC23" s="866"/>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B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02" t="s">
        <v>82</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336</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c r="BD1" s="85"/>
      <c r="BE1" s="85"/>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A2" s="201"/>
      <c r="AB2" s="1012" t="s">
        <v>544</v>
      </c>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502"/>
      <c r="AY2" s="502"/>
      <c r="AZ2" s="1014" t="s">
        <v>592</v>
      </c>
      <c r="BA2" s="1015"/>
      <c r="BB2" s="1015"/>
      <c r="BC2" s="1015"/>
      <c r="BD2" s="1015"/>
    </row>
    <row r="3" spans="1:57" s="1" customFormat="1" ht="24" customHeight="1" thickBot="1">
      <c r="A3" s="85"/>
      <c r="B3" s="85"/>
      <c r="C3" s="1006" t="s">
        <v>16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458</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c r="BD3" s="85"/>
      <c r="BE3" s="85"/>
    </row>
    <row r="4" spans="3:57" ht="60.75" customHeight="1" thickBot="1">
      <c r="C4" s="1000" t="s">
        <v>788</v>
      </c>
      <c r="D4" s="1001"/>
      <c r="E4" s="963" t="s">
        <v>767</v>
      </c>
      <c r="F4" s="964"/>
      <c r="G4" s="741" t="s">
        <v>768</v>
      </c>
      <c r="H4" s="1025"/>
      <c r="I4" s="1025"/>
      <c r="J4" s="1026"/>
      <c r="K4" s="1009" t="s">
        <v>772</v>
      </c>
      <c r="L4" s="1010"/>
      <c r="M4" s="1011"/>
      <c r="N4" s="1020" t="s">
        <v>775</v>
      </c>
      <c r="O4" s="1021"/>
      <c r="P4" s="1022"/>
      <c r="Q4" s="989" t="s">
        <v>778</v>
      </c>
      <c r="R4" s="990"/>
      <c r="S4" s="980" t="s">
        <v>333</v>
      </c>
      <c r="T4" s="981"/>
      <c r="U4" s="981"/>
      <c r="V4" s="981"/>
      <c r="W4" s="981"/>
      <c r="X4" s="981"/>
      <c r="Y4" s="981"/>
      <c r="Z4" s="982"/>
      <c r="AB4" s="985" t="s">
        <v>557</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1:57" s="1" customFormat="1" ht="34.5" customHeight="1">
      <c r="A5" s="85"/>
      <c r="B5" s="85"/>
      <c r="C5" s="1002"/>
      <c r="D5" s="100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97"/>
      <c r="Z5" s="996">
        <f>IF(AND(X5=FALSE,X6=FALSE,X7=FALSE),"",IF(AND(X5=TRUE,X6=TRUE),"Yes",IF(AND(X5=TRUE,X7=TRUE),"Yes",IF(AND(X6=TRUE,X7=TRUE),"Yes","No"))))</f>
      </c>
      <c r="AB5" s="998" t="s">
        <v>59</v>
      </c>
      <c r="AC5" s="474"/>
      <c r="AD5" s="474"/>
      <c r="AE5" s="993" t="s">
        <v>64</v>
      </c>
      <c r="AF5" s="475"/>
      <c r="AG5" s="475"/>
      <c r="AH5" s="976" t="s">
        <v>227</v>
      </c>
      <c r="AI5" s="476"/>
      <c r="AJ5" s="476"/>
      <c r="AK5" s="976" t="s">
        <v>64</v>
      </c>
      <c r="AL5" s="475"/>
      <c r="AM5" s="475"/>
      <c r="AN5" s="979" t="s">
        <v>60</v>
      </c>
      <c r="AO5" s="477"/>
      <c r="AP5" s="477"/>
      <c r="AQ5" s="979" t="s">
        <v>64</v>
      </c>
      <c r="AR5" s="475"/>
      <c r="AS5" s="475"/>
      <c r="AT5" s="896" t="s">
        <v>61</v>
      </c>
      <c r="AU5" s="478"/>
      <c r="AV5" s="478"/>
      <c r="AW5" s="896" t="s">
        <v>64</v>
      </c>
      <c r="AX5" s="475"/>
      <c r="AY5" s="475"/>
      <c r="AZ5" s="897" t="s">
        <v>62</v>
      </c>
      <c r="BA5" s="479"/>
      <c r="BB5" s="480"/>
      <c r="BC5" s="975" t="s">
        <v>64</v>
      </c>
      <c r="BD5" s="894">
        <v>1</v>
      </c>
      <c r="BE5" s="895">
        <f>INDEX(Cups,BD5)</f>
        <v>0</v>
      </c>
    </row>
    <row r="6" spans="1:57" s="1" customFormat="1" ht="44.25" customHeight="1" thickBot="1">
      <c r="A6" s="85"/>
      <c r="B6" s="85"/>
      <c r="C6" s="1004"/>
      <c r="D6" s="1005"/>
      <c r="E6" s="966"/>
      <c r="F6" s="968"/>
      <c r="G6" s="1017"/>
      <c r="H6" s="972"/>
      <c r="I6" s="974"/>
      <c r="J6" s="1019"/>
      <c r="K6" s="749"/>
      <c r="L6" s="970"/>
      <c r="M6" s="778"/>
      <c r="N6" s="991"/>
      <c r="O6" s="970"/>
      <c r="P6" s="1024"/>
      <c r="Q6" s="995"/>
      <c r="R6" s="968"/>
      <c r="S6" s="948" t="s">
        <v>664</v>
      </c>
      <c r="T6" s="949"/>
      <c r="U6" s="949"/>
      <c r="V6" s="949"/>
      <c r="W6" s="112"/>
      <c r="X6" s="112" t="b">
        <v>0</v>
      </c>
      <c r="Y6" s="97"/>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2</v>
      </c>
      <c r="B7" s="513" t="str">
        <f>INDEX(meals,A7)</f>
        <v>Santa Fe wrap</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1</v>
      </c>
      <c r="K7" s="116">
        <f>IF(B7=0,"",VLOOKUP(A7,'All Meals'!$A$12:$V$61,10))</f>
        <v>1</v>
      </c>
      <c r="L7" s="117" t="str">
        <f aca="true" t="shared" si="0" ref="L7:L26">IF(B7=0,"",IF(K7="","No",IF(K7&gt;=1,"Yes","No")))</f>
        <v>Yes</v>
      </c>
      <c r="M7" s="404">
        <f>IF(B7=0,"",VLOOKUP(A7,'All Meals'!$A$12:$V$61,13))</f>
      </c>
      <c r="N7" s="116">
        <f>IF(B7=0,"",VLOOKUP(A7,'All Meals'!$A$12:$V$61,16))</f>
        <v>1.5</v>
      </c>
      <c r="O7" s="497" t="str">
        <f aca="true" t="shared" si="1" ref="O7:O26">IF(B7=0,"",IF(N7="","No",IF(N7&gt;=1,"Yes","No")))</f>
        <v>Yes</v>
      </c>
      <c r="P7" s="498">
        <f>IF(B7=0,"",VLOOKUP(A7,'All Meals'!$A$12:$V$61,19))</f>
      </c>
      <c r="Q7" s="116">
        <f>IF(B7=0,"",VLOOKUP(A7,'All Meals'!$A$12:$V$61,20))</f>
        <v>1</v>
      </c>
      <c r="R7" s="216" t="str">
        <f aca="true" t="shared" si="2" ref="R7:R26">IF(B7=0,"",IF(Q7="","No",IF(Q7&gt;=1,"Yes","No")))</f>
        <v>Yes</v>
      </c>
      <c r="S7" s="948" t="s">
        <v>665</v>
      </c>
      <c r="T7" s="949"/>
      <c r="U7" s="949"/>
      <c r="V7" s="949"/>
      <c r="W7" s="112"/>
      <c r="X7" s="112" t="b">
        <v>0</v>
      </c>
      <c r="Y7" s="97"/>
      <c r="Z7" s="996"/>
      <c r="AA7" s="23"/>
      <c r="AB7" s="977" t="s">
        <v>298</v>
      </c>
      <c r="AC7" s="959"/>
      <c r="AD7" s="959"/>
      <c r="AE7" s="961"/>
      <c r="AF7" s="887">
        <v>3</v>
      </c>
      <c r="AG7" s="889">
        <f>INDEX(Cups,AF7)</f>
        <v>0.25</v>
      </c>
      <c r="AH7" s="955" t="s">
        <v>299</v>
      </c>
      <c r="AI7" s="957"/>
      <c r="AJ7" s="957"/>
      <c r="AK7" s="955"/>
      <c r="AL7" s="887">
        <v>7</v>
      </c>
      <c r="AM7" s="889">
        <f>INDEX(Cups,AL7)</f>
        <v>0.75</v>
      </c>
      <c r="AN7" s="885" t="s">
        <v>300</v>
      </c>
      <c r="AO7" s="874"/>
      <c r="AP7" s="874"/>
      <c r="AQ7" s="885"/>
      <c r="AR7" s="887">
        <v>3</v>
      </c>
      <c r="AS7" s="889">
        <f>INDEX(Cups,AR7)</f>
        <v>0.25</v>
      </c>
      <c r="AT7" s="890" t="s">
        <v>301</v>
      </c>
      <c r="AU7" s="876"/>
      <c r="AV7" s="876"/>
      <c r="AW7" s="876"/>
      <c r="AX7" s="887">
        <v>3</v>
      </c>
      <c r="AY7" s="889">
        <f>INDEX(Cups,AX7)</f>
        <v>0.25</v>
      </c>
      <c r="AZ7" s="892" t="s">
        <v>302</v>
      </c>
      <c r="BA7" s="881"/>
      <c r="BB7" s="881"/>
      <c r="BC7" s="88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8" t="s">
        <v>666</v>
      </c>
      <c r="T8" s="949"/>
      <c r="U8" s="949"/>
      <c r="V8" s="949"/>
      <c r="W8" s="112"/>
      <c r="X8" s="112" t="b">
        <v>0</v>
      </c>
      <c r="Y8" s="97"/>
      <c r="Z8" s="114">
        <f>IF(X8=TRUE,"No","")</f>
      </c>
      <c r="AA8" s="23"/>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50" t="s">
        <v>667</v>
      </c>
      <c r="T9" s="951"/>
      <c r="U9" s="951"/>
      <c r="V9" s="951"/>
      <c r="W9" s="113"/>
      <c r="X9" s="113" t="b">
        <v>0</v>
      </c>
      <c r="Y9" s="98"/>
      <c r="Z9" s="115">
        <f>IF(X9=TRUE,"No","")</f>
      </c>
      <c r="AA9" s="23"/>
      <c r="AB9" s="945" t="str">
        <f>IF(OR(COUNTIF(AC10:AC19,12)&gt;0,COUNTIF(AC10:AC19,2)&gt;0,COUNTIF(AC10:AC19,4)&gt;0,COUNTIF(AC10:AC19,10)&gt;0,COUNTIF(AC10:AC19,15)&gt;0,COUNTIF(AC10:AC19,17)&gt;0,),"Remember to enter CREDITABLE amounts of leafy greens!","")</f>
        <v>Remember to enter CREDITABLE amounts of leafy greens!</v>
      </c>
      <c r="AC9" s="946"/>
      <c r="AD9" s="946"/>
      <c r="AE9" s="947"/>
      <c r="AF9" s="366"/>
      <c r="AG9" s="366"/>
      <c r="AH9" s="952">
        <f>IF(COUNTIF(AI10:AI19,10)&gt;0,"Remember to enter the CREDITABLE amount of tomato paste!","")</f>
      </c>
      <c r="AI9" s="953"/>
      <c r="AJ9" s="953"/>
      <c r="AK9" s="954"/>
      <c r="AL9" s="366"/>
      <c r="AM9" s="366"/>
      <c r="AN9" s="819" t="str">
        <f>IF(SUM(AO10:AO19)&gt;10,"If crediting as a vegetable do not also credit as a meat/meat alternate","")</f>
        <v>If crediting as a vegetable do not also credit as a meat/meat alternate</v>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12</v>
      </c>
      <c r="AD10" s="254" t="str">
        <f aca="true" t="shared" si="6" ref="AD10:AD19">INDEX(GREEN,AC10)</f>
        <v>Romaine</v>
      </c>
      <c r="AE10" s="254"/>
      <c r="AF10" s="334">
        <v>3</v>
      </c>
      <c r="AG10" s="334">
        <f aca="true" t="shared" si="7" ref="AG10:AG19">IF(AD10=0,"",INDEX(Cups,AF10))</f>
        <v>0.25</v>
      </c>
      <c r="AH10" s="101"/>
      <c r="AI10" s="101">
        <v>12</v>
      </c>
      <c r="AJ10" s="101" t="str">
        <f aca="true" t="shared" si="8" ref="AJ10:AJ19">INDEX(RED,AI10)</f>
        <v>Tomatoes</v>
      </c>
      <c r="AK10" s="101"/>
      <c r="AL10" s="334">
        <v>3</v>
      </c>
      <c r="AM10" s="334">
        <f aca="true" t="shared" si="9" ref="AM10:AM19">IF(AJ10=0,"",INDEX(Cups,AL10))</f>
        <v>0.25</v>
      </c>
      <c r="AN10" s="255"/>
      <c r="AO10" s="255">
        <v>3</v>
      </c>
      <c r="AP10" s="255" t="str">
        <f aca="true" t="shared" si="10" ref="AP10:AP19">INDEX(BEANS,AO10)</f>
        <v>Chickpeas </v>
      </c>
      <c r="AQ10" s="255"/>
      <c r="AR10" s="334">
        <v>3</v>
      </c>
      <c r="AS10" s="334">
        <f aca="true" t="shared" si="11" ref="AS10:AS19">IF(AP10=0,"",INDEX(Cups,AR10))</f>
        <v>0.25</v>
      </c>
      <c r="AT10" s="256"/>
      <c r="AU10" s="256">
        <v>2</v>
      </c>
      <c r="AV10" s="256" t="str">
        <f aca="true" t="shared" si="12" ref="AV10:AV19">INDEX(STARCHY,AU10)</f>
        <v>Corn</v>
      </c>
      <c r="AW10" s="256"/>
      <c r="AX10" s="334">
        <v>3</v>
      </c>
      <c r="AY10" s="334">
        <f>IF(AV10=0,"",INDEX(Cups,AX10))</f>
        <v>0.25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2" t="s">
        <v>248</v>
      </c>
      <c r="U11" s="753"/>
      <c r="V11" s="753"/>
      <c r="W11" s="753"/>
      <c r="X11" s="753"/>
      <c r="Y11" s="753"/>
      <c r="Z11" s="754"/>
      <c r="AA11" s="23"/>
      <c r="AB11" s="99"/>
      <c r="AC11" s="100">
        <v>1</v>
      </c>
      <c r="AD11" s="100">
        <f t="shared" si="6"/>
        <v>0</v>
      </c>
      <c r="AE11" s="100"/>
      <c r="AF11" s="333">
        <v>1</v>
      </c>
      <c r="AG11" s="333">
        <f t="shared" si="7"/>
      </c>
      <c r="AH11" s="101"/>
      <c r="AI11" s="101">
        <v>3</v>
      </c>
      <c r="AJ11" s="101" t="str">
        <f t="shared" si="8"/>
        <v>Carrots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30"/>
      <c r="U12" s="931"/>
      <c r="V12" s="931"/>
      <c r="W12" s="931"/>
      <c r="X12" s="931"/>
      <c r="Y12" s="931"/>
      <c r="Z12" s="932"/>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12" t="s">
        <v>238</v>
      </c>
      <c r="U13" s="913"/>
      <c r="V13" s="913"/>
      <c r="W13" s="97">
        <v>1</v>
      </c>
      <c r="X13" s="97">
        <f>INDEX(Cups,W13)</f>
        <v>0</v>
      </c>
      <c r="Y13" s="920"/>
      <c r="Z13" s="921"/>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12"/>
      <c r="U14" s="913"/>
      <c r="V14" s="913"/>
      <c r="W14" s="97">
        <v>1</v>
      </c>
      <c r="X14" s="97">
        <f>INDEX(Cups,W14)</f>
        <v>0</v>
      </c>
      <c r="Y14" s="910"/>
      <c r="Z14" s="911"/>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12"/>
      <c r="U15" s="913"/>
      <c r="V15" s="913"/>
      <c r="W15" s="97">
        <v>1</v>
      </c>
      <c r="X15" s="97">
        <f>INDEX(Cups,W15)</f>
        <v>0</v>
      </c>
      <c r="Y15" s="910"/>
      <c r="Z15" s="911"/>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12"/>
      <c r="U16" s="913"/>
      <c r="V16" s="913"/>
      <c r="W16" s="97">
        <v>1</v>
      </c>
      <c r="X16" s="97">
        <f>INDEX(Cups,W16)</f>
        <v>0</v>
      </c>
      <c r="Y16" s="910"/>
      <c r="Z16" s="911"/>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12"/>
      <c r="U17" s="913"/>
      <c r="V17" s="913"/>
      <c r="W17" s="97">
        <v>1</v>
      </c>
      <c r="X17" s="97">
        <f>INDEX(Cups,W17)</f>
        <v>0</v>
      </c>
      <c r="Y17" s="916"/>
      <c r="Z17" s="917"/>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B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250</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442</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34</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515</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01"/>
      <c r="E4" s="963" t="s">
        <v>767</v>
      </c>
      <c r="F4" s="964"/>
      <c r="G4" s="741" t="s">
        <v>768</v>
      </c>
      <c r="H4" s="1025"/>
      <c r="I4" s="1025"/>
      <c r="J4" s="1026"/>
      <c r="K4" s="1009" t="s">
        <v>772</v>
      </c>
      <c r="L4" s="1010"/>
      <c r="M4" s="1011"/>
      <c r="N4" s="1020" t="s">
        <v>775</v>
      </c>
      <c r="O4" s="1021"/>
      <c r="P4" s="1022"/>
      <c r="Q4" s="989" t="s">
        <v>778</v>
      </c>
      <c r="R4" s="990"/>
      <c r="S4" s="980" t="s">
        <v>443</v>
      </c>
      <c r="T4" s="981"/>
      <c r="U4" s="981"/>
      <c r="V4" s="981"/>
      <c r="W4" s="981"/>
      <c r="X4" s="981"/>
      <c r="Y4" s="981"/>
      <c r="Z4" s="982"/>
      <c r="AB4" s="985" t="s">
        <v>745</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02"/>
      <c r="D5" s="100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251</v>
      </c>
      <c r="AC5" s="474"/>
      <c r="AD5" s="474"/>
      <c r="AE5" s="993" t="s">
        <v>64</v>
      </c>
      <c r="AF5" s="475"/>
      <c r="AG5" s="475"/>
      <c r="AH5" s="976" t="s">
        <v>252</v>
      </c>
      <c r="AI5" s="476"/>
      <c r="AJ5" s="476"/>
      <c r="AK5" s="976" t="s">
        <v>64</v>
      </c>
      <c r="AL5" s="475"/>
      <c r="AM5" s="475"/>
      <c r="AN5" s="979" t="s">
        <v>253</v>
      </c>
      <c r="AO5" s="477"/>
      <c r="AP5" s="477"/>
      <c r="AQ5" s="979" t="s">
        <v>64</v>
      </c>
      <c r="AR5" s="475"/>
      <c r="AS5" s="475"/>
      <c r="AT5" s="896" t="s">
        <v>254</v>
      </c>
      <c r="AU5" s="478"/>
      <c r="AV5" s="478"/>
      <c r="AW5" s="896" t="s">
        <v>64</v>
      </c>
      <c r="AX5" s="475"/>
      <c r="AY5" s="475"/>
      <c r="AZ5" s="897" t="s">
        <v>255</v>
      </c>
      <c r="BA5" s="479"/>
      <c r="BB5" s="480"/>
      <c r="BC5" s="975" t="s">
        <v>64</v>
      </c>
      <c r="BD5" s="894">
        <v>1</v>
      </c>
      <c r="BE5" s="895">
        <f>INDEX(Cups,BD5)</f>
        <v>0</v>
      </c>
    </row>
    <row r="6" spans="3:57" ht="44.25" customHeight="1" thickBot="1">
      <c r="C6" s="1004"/>
      <c r="D6" s="100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3</v>
      </c>
      <c r="B7" s="513" t="str">
        <f>INDEX(meals,A7)</f>
        <v>Hatton chicken crunch with Asian brown rice</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v>0.5</v>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318</v>
      </c>
      <c r="AC7" s="959"/>
      <c r="AD7" s="959"/>
      <c r="AE7" s="961"/>
      <c r="AF7" s="887">
        <v>6</v>
      </c>
      <c r="AG7" s="889">
        <f>INDEX(Cups,AF7)</f>
        <v>0.625</v>
      </c>
      <c r="AH7" s="955" t="s">
        <v>319</v>
      </c>
      <c r="AI7" s="957"/>
      <c r="AJ7" s="957"/>
      <c r="AK7" s="955"/>
      <c r="AL7" s="887">
        <v>2</v>
      </c>
      <c r="AM7" s="889">
        <f>INDEX(Cups,AL7)</f>
        <v>0.125</v>
      </c>
      <c r="AN7" s="885" t="s">
        <v>320</v>
      </c>
      <c r="AO7" s="874"/>
      <c r="AP7" s="874"/>
      <c r="AQ7" s="885"/>
      <c r="AR7" s="887">
        <v>1</v>
      </c>
      <c r="AS7" s="889">
        <f>INDEX(Cups,AR7)</f>
        <v>0</v>
      </c>
      <c r="AT7" s="890" t="s">
        <v>321</v>
      </c>
      <c r="AU7" s="876"/>
      <c r="AV7" s="876"/>
      <c r="AW7" s="876"/>
      <c r="AX7" s="887">
        <v>5</v>
      </c>
      <c r="AY7" s="889">
        <f>INDEX(Cups,AX7)</f>
        <v>0.5</v>
      </c>
      <c r="AZ7" s="892" t="s">
        <v>322</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6</v>
      </c>
      <c r="AG10" s="334">
        <f aca="true" t="shared" si="7" ref="AG10:AG19">IF(AD10=0,"",INDEX(Cups,AF10))</f>
        <v>0.625</v>
      </c>
      <c r="AH10" s="101"/>
      <c r="AI10" s="101">
        <v>3</v>
      </c>
      <c r="AJ10" s="101" t="str">
        <f aca="true" t="shared" si="8" ref="AJ10:AJ19">INDEX(RED,AI10)</f>
        <v>Carrots</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B1">
      <pane ySplit="6" topLeftCell="BM7" activePane="bottomLeft" state="frozen"/>
      <selection pane="topLeft" activeCell="C7" sqref="C7"/>
      <selection pane="bottomLeft" activeCell="AZ23" sqref="AZ23:BC23"/>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02" t="s">
        <v>256</v>
      </c>
      <c r="D1" s="803"/>
      <c r="E1" s="803"/>
      <c r="F1" s="803"/>
      <c r="G1" s="803"/>
      <c r="H1" s="803"/>
      <c r="I1" s="803"/>
      <c r="J1" s="803"/>
      <c r="K1" s="803"/>
      <c r="L1" s="803"/>
      <c r="M1" s="803"/>
      <c r="N1" s="803"/>
      <c r="O1" s="803"/>
      <c r="P1" s="803"/>
      <c r="Q1" s="803"/>
      <c r="R1" s="803"/>
      <c r="S1" s="336"/>
      <c r="T1" s="997" t="s">
        <v>323</v>
      </c>
      <c r="U1" s="997"/>
      <c r="V1" s="997"/>
      <c r="W1" s="997"/>
      <c r="X1" s="997"/>
      <c r="Y1" s="997"/>
      <c r="Z1" s="997"/>
      <c r="AA1" s="336"/>
      <c r="AB1" s="803" t="s">
        <v>444</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324</v>
      </c>
      <c r="E2" s="988"/>
      <c r="F2" s="988"/>
      <c r="G2" s="988"/>
      <c r="H2" s="988"/>
      <c r="I2" s="988"/>
      <c r="J2" s="988"/>
      <c r="K2" s="988"/>
      <c r="L2" s="988"/>
      <c r="M2" s="988"/>
      <c r="N2" s="988"/>
      <c r="O2" s="988"/>
      <c r="P2" s="988"/>
      <c r="Q2" s="988"/>
      <c r="R2" s="988"/>
      <c r="S2" s="512"/>
      <c r="T2" s="999" t="s">
        <v>168</v>
      </c>
      <c r="U2" s="999"/>
      <c r="V2" s="999"/>
      <c r="Y2" s="992" t="s">
        <v>83</v>
      </c>
      <c r="Z2" s="992"/>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1006" t="s">
        <v>35</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516</v>
      </c>
      <c r="AC3" s="984"/>
      <c r="AD3" s="984"/>
      <c r="AE3" s="984"/>
      <c r="AF3" s="984"/>
      <c r="AG3" s="984"/>
      <c r="AH3" s="984"/>
      <c r="AI3" s="984"/>
      <c r="AJ3" s="984"/>
      <c r="AK3" s="984"/>
      <c r="AL3" s="984"/>
      <c r="AM3" s="984"/>
      <c r="AN3" s="984"/>
      <c r="AO3" s="481"/>
      <c r="AP3" s="481"/>
      <c r="AQ3" s="481"/>
      <c r="AR3" s="481" t="b">
        <v>0</v>
      </c>
      <c r="AS3" s="481"/>
      <c r="AT3" s="481"/>
      <c r="AU3" s="481"/>
      <c r="AV3" s="481"/>
      <c r="AW3" s="481"/>
      <c r="AX3" s="481"/>
      <c r="AY3" s="481"/>
      <c r="AZ3" s="481"/>
      <c r="BA3" s="481"/>
      <c r="BB3" s="481"/>
      <c r="BC3" s="482"/>
    </row>
    <row r="4" spans="3:57" ht="60.75" customHeight="1" thickBot="1">
      <c r="C4" s="1000" t="s">
        <v>788</v>
      </c>
      <c r="D4" s="1031"/>
      <c r="E4" s="963" t="s">
        <v>767</v>
      </c>
      <c r="F4" s="964"/>
      <c r="G4" s="741" t="s">
        <v>768</v>
      </c>
      <c r="H4" s="1025"/>
      <c r="I4" s="1025"/>
      <c r="J4" s="1026"/>
      <c r="K4" s="1009" t="s">
        <v>772</v>
      </c>
      <c r="L4" s="1010"/>
      <c r="M4" s="1011"/>
      <c r="N4" s="1020" t="s">
        <v>775</v>
      </c>
      <c r="O4" s="1021"/>
      <c r="P4" s="1022"/>
      <c r="Q4" s="989" t="s">
        <v>778</v>
      </c>
      <c r="R4" s="990"/>
      <c r="S4" s="980" t="s">
        <v>445</v>
      </c>
      <c r="T4" s="981"/>
      <c r="U4" s="981"/>
      <c r="V4" s="981"/>
      <c r="W4" s="981"/>
      <c r="X4" s="981"/>
      <c r="Y4" s="981"/>
      <c r="Z4" s="982"/>
      <c r="AB4" s="985" t="s">
        <v>746</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79</v>
      </c>
      <c r="BE4" s="85" t="s">
        <v>80</v>
      </c>
    </row>
    <row r="5" spans="3:57" ht="34.5" customHeight="1">
      <c r="C5" s="1032"/>
      <c r="D5" s="1033"/>
      <c r="E5" s="965" t="s">
        <v>331</v>
      </c>
      <c r="F5" s="967" t="s">
        <v>23</v>
      </c>
      <c r="G5" s="1016" t="s">
        <v>769</v>
      </c>
      <c r="H5" s="971" t="s">
        <v>21</v>
      </c>
      <c r="I5" s="973" t="s">
        <v>770</v>
      </c>
      <c r="J5" s="1018" t="s">
        <v>771</v>
      </c>
      <c r="K5" s="748" t="s">
        <v>773</v>
      </c>
      <c r="L5" s="969" t="s">
        <v>19</v>
      </c>
      <c r="M5" s="777" t="s">
        <v>774</v>
      </c>
      <c r="N5" s="727" t="s">
        <v>776</v>
      </c>
      <c r="O5" s="969" t="s">
        <v>20</v>
      </c>
      <c r="P5" s="1023" t="s">
        <v>777</v>
      </c>
      <c r="Q5" s="994" t="s">
        <v>332</v>
      </c>
      <c r="R5" s="967" t="s">
        <v>105</v>
      </c>
      <c r="S5" s="948" t="s">
        <v>663</v>
      </c>
      <c r="T5" s="949"/>
      <c r="U5" s="949"/>
      <c r="V5" s="949"/>
      <c r="W5" s="112"/>
      <c r="X5" s="112" t="b">
        <v>0</v>
      </c>
      <c r="Y5" s="333"/>
      <c r="Z5" s="996">
        <f>IF(AND(X5=FALSE,X6=FALSE,X7=FALSE),"",IF(AND(X5=TRUE,X6=TRUE),"Yes",IF(AND(X5=TRUE,X7=TRUE),"Yes",IF(AND(X6=TRUE,X7=TRUE),"Yes","No"))))</f>
      </c>
      <c r="AB5" s="998" t="s">
        <v>257</v>
      </c>
      <c r="AC5" s="474"/>
      <c r="AD5" s="474"/>
      <c r="AE5" s="993" t="s">
        <v>64</v>
      </c>
      <c r="AF5" s="475"/>
      <c r="AG5" s="475"/>
      <c r="AH5" s="976" t="s">
        <v>258</v>
      </c>
      <c r="AI5" s="476"/>
      <c r="AJ5" s="476"/>
      <c r="AK5" s="976" t="s">
        <v>64</v>
      </c>
      <c r="AL5" s="475"/>
      <c r="AM5" s="475"/>
      <c r="AN5" s="979" t="s">
        <v>259</v>
      </c>
      <c r="AO5" s="477"/>
      <c r="AP5" s="477"/>
      <c r="AQ5" s="979" t="s">
        <v>64</v>
      </c>
      <c r="AR5" s="475"/>
      <c r="AS5" s="475"/>
      <c r="AT5" s="896" t="s">
        <v>260</v>
      </c>
      <c r="AU5" s="478"/>
      <c r="AV5" s="478"/>
      <c r="AW5" s="896" t="s">
        <v>64</v>
      </c>
      <c r="AX5" s="475"/>
      <c r="AY5" s="475"/>
      <c r="AZ5" s="897" t="s">
        <v>261</v>
      </c>
      <c r="BA5" s="479"/>
      <c r="BB5" s="480"/>
      <c r="BC5" s="975" t="s">
        <v>64</v>
      </c>
      <c r="BD5" s="894">
        <v>5</v>
      </c>
      <c r="BE5" s="895">
        <f>INDEX(Cups,BD5)</f>
        <v>0.5</v>
      </c>
    </row>
    <row r="6" spans="3:57" ht="44.25" customHeight="1" thickBot="1">
      <c r="C6" s="1034"/>
      <c r="D6" s="1035"/>
      <c r="E6" s="966"/>
      <c r="F6" s="968"/>
      <c r="G6" s="1017"/>
      <c r="H6" s="972"/>
      <c r="I6" s="974"/>
      <c r="J6" s="1019"/>
      <c r="K6" s="749"/>
      <c r="L6" s="970"/>
      <c r="M6" s="778"/>
      <c r="N6" s="991"/>
      <c r="O6" s="970"/>
      <c r="P6" s="1024"/>
      <c r="Q6" s="995"/>
      <c r="R6" s="968"/>
      <c r="S6" s="948" t="s">
        <v>664</v>
      </c>
      <c r="T6" s="949"/>
      <c r="U6" s="949"/>
      <c r="V6" s="949"/>
      <c r="W6" s="112"/>
      <c r="X6" s="112" t="b">
        <v>0</v>
      </c>
      <c r="Y6" s="333"/>
      <c r="Z6" s="996"/>
      <c r="AB6" s="810"/>
      <c r="AC6" s="367" t="s">
        <v>65</v>
      </c>
      <c r="AD6" s="367"/>
      <c r="AE6" s="840"/>
      <c r="AF6" s="302" t="s">
        <v>67</v>
      </c>
      <c r="AG6" s="302" t="s">
        <v>68</v>
      </c>
      <c r="AH6" s="842"/>
      <c r="AI6" s="361" t="s">
        <v>71</v>
      </c>
      <c r="AJ6" s="361"/>
      <c r="AK6" s="842"/>
      <c r="AL6" s="302" t="s">
        <v>69</v>
      </c>
      <c r="AM6" s="302" t="s">
        <v>70</v>
      </c>
      <c r="AN6" s="829"/>
      <c r="AO6" s="362" t="s">
        <v>72</v>
      </c>
      <c r="AP6" s="362"/>
      <c r="AQ6" s="829"/>
      <c r="AR6" s="302" t="s">
        <v>73</v>
      </c>
      <c r="AS6" s="302" t="s">
        <v>74</v>
      </c>
      <c r="AT6" s="831"/>
      <c r="AU6" s="363" t="s">
        <v>75</v>
      </c>
      <c r="AV6" s="363"/>
      <c r="AW6" s="831"/>
      <c r="AX6" s="302" t="s">
        <v>76</v>
      </c>
      <c r="AY6" s="302" t="s">
        <v>77</v>
      </c>
      <c r="AZ6" s="833"/>
      <c r="BA6" s="364" t="s">
        <v>78</v>
      </c>
      <c r="BB6" s="303"/>
      <c r="BC6" s="835"/>
      <c r="BD6" s="894"/>
      <c r="BE6" s="895"/>
    </row>
    <row r="7" spans="1:55" ht="34.5" customHeight="1">
      <c r="A7" s="513">
        <v>4</v>
      </c>
      <c r="B7" s="513" t="str">
        <f>INDEX(meals,A7)</f>
        <v>Classic wedge pizza</v>
      </c>
      <c r="C7" s="519">
        <v>1</v>
      </c>
      <c r="D7" s="96"/>
      <c r="E7" s="215">
        <f>IF(B7=0,"",FLOOR(VLOOKUP(A7,'All Meals'!$A$12:$V$61,4),0.25))</f>
        <v>2</v>
      </c>
      <c r="F7" s="216" t="str">
        <f>IF(B7=0,"",IF(E7="","No",IF(E7&gt;=2,"Yes","No")))</f>
        <v>Yes</v>
      </c>
      <c r="G7" s="215">
        <f>IF(B7=0,"",FLOOR(VLOOKUP(A7,'All Meals'!$A$12:$V$61,5),0.25))</f>
        <v>2.25</v>
      </c>
      <c r="H7" s="217" t="str">
        <f>IF(B7=0,"",IF(G7="","No",IF(G7&gt;=2,"Yes","No")))</f>
        <v>Yes</v>
      </c>
      <c r="I7" s="297">
        <f>IF(B7=0,"",FLOOR(VLOOKUP(A7,'All Meals'!$A$12:$V$61,6),0.25))</f>
        <v>2.25</v>
      </c>
      <c r="J7" s="297">
        <f>IF(B7=0,"",FLOOR(VLOOKUP(A7,'All Meals'!$A$12:$V$61,7),0.25))</f>
        <v>0</v>
      </c>
      <c r="K7" s="116">
        <f>IF(B7=0,"",VLOOKUP(A7,'All Meals'!$A$12:$V$61,10))</f>
        <v>1</v>
      </c>
      <c r="L7" s="117" t="str">
        <f>IF(B7=0,"",IF(K7="","No",IF(K7&gt;=1,"Yes","No")))</f>
        <v>Yes</v>
      </c>
      <c r="M7" s="404">
        <f>IF(B7=0,"",VLOOKUP(A7,'All Meals'!$A$12:$V$61,13))</f>
      </c>
      <c r="N7" s="116">
        <f>IF(B7=0,"",VLOOKUP(A7,'All Meals'!$A$12:$V$61,16))</f>
        <v>1.375</v>
      </c>
      <c r="O7" s="497" t="str">
        <f>IF(B7=0,"",IF(N7="","No",IF(N7&gt;=1,"Yes","No")))</f>
        <v>Yes</v>
      </c>
      <c r="P7" s="498">
        <f>IF(B7=0,"",VLOOKUP(A7,'All Meals'!$A$12:$V$61,19))</f>
      </c>
      <c r="Q7" s="116">
        <f>IF(B7=0,"",VLOOKUP(A7,'All Meals'!$A$12:$V$61,20))</f>
        <v>1</v>
      </c>
      <c r="R7" s="216" t="str">
        <f aca="true" t="shared" si="0" ref="R7:R26">IF(B7=0,"",IF(Q7="","No",IF(Q7&gt;=1,"Yes","No")))</f>
        <v>Yes</v>
      </c>
      <c r="S7" s="948" t="s">
        <v>665</v>
      </c>
      <c r="T7" s="949"/>
      <c r="U7" s="949"/>
      <c r="V7" s="949"/>
      <c r="W7" s="112"/>
      <c r="X7" s="112" t="b">
        <v>0</v>
      </c>
      <c r="Y7" s="333"/>
      <c r="Z7" s="996"/>
      <c r="AB7" s="977" t="s">
        <v>313</v>
      </c>
      <c r="AC7" s="959"/>
      <c r="AD7" s="959"/>
      <c r="AE7" s="961"/>
      <c r="AF7" s="887">
        <v>1</v>
      </c>
      <c r="AG7" s="889">
        <f>INDEX(Cups,AF7)</f>
        <v>0</v>
      </c>
      <c r="AH7" s="955" t="s">
        <v>314</v>
      </c>
      <c r="AI7" s="957"/>
      <c r="AJ7" s="957"/>
      <c r="AK7" s="955"/>
      <c r="AL7" s="887">
        <v>2</v>
      </c>
      <c r="AM7" s="889">
        <f>INDEX(Cups,AL7)</f>
        <v>0.125</v>
      </c>
      <c r="AN7" s="885" t="s">
        <v>315</v>
      </c>
      <c r="AO7" s="874"/>
      <c r="AP7" s="874"/>
      <c r="AQ7" s="885"/>
      <c r="AR7" s="887">
        <v>1</v>
      </c>
      <c r="AS7" s="889">
        <f>INDEX(Cups,AR7)</f>
        <v>0</v>
      </c>
      <c r="AT7" s="890" t="s">
        <v>316</v>
      </c>
      <c r="AU7" s="876"/>
      <c r="AV7" s="876"/>
      <c r="AW7" s="876"/>
      <c r="AX7" s="887">
        <v>7</v>
      </c>
      <c r="AY7" s="889">
        <f>INDEX(Cups,AX7)</f>
        <v>0.75</v>
      </c>
      <c r="AZ7" s="892" t="s">
        <v>317</v>
      </c>
      <c r="BA7" s="881"/>
      <c r="BB7" s="881"/>
      <c r="BC7" s="88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8" t="s">
        <v>666</v>
      </c>
      <c r="T8" s="949"/>
      <c r="U8" s="949"/>
      <c r="V8" s="949"/>
      <c r="W8" s="112"/>
      <c r="X8" s="112" t="b">
        <v>0</v>
      </c>
      <c r="Y8" s="333"/>
      <c r="Z8" s="365">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50" t="s">
        <v>667</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66"/>
      <c r="AG9" s="366"/>
      <c r="AH9" s="952">
        <f>IF(COUNTIF(AI10:AI19,10)&gt;0,"Remember to enter the CREDITABLE amount of tomato paste!","")</f>
      </c>
      <c r="AI9" s="953"/>
      <c r="AJ9" s="953"/>
      <c r="AK9" s="954"/>
      <c r="AL9" s="366"/>
      <c r="AM9" s="366"/>
      <c r="AN9" s="819">
        <f>IF(SUM(AO10:AO19)&gt;10,"If crediting as a vegetable do not also credit as a meat/meat alternate","")</f>
      </c>
      <c r="AO9" s="820"/>
      <c r="AP9" s="820"/>
      <c r="AQ9" s="821"/>
      <c r="AR9" s="335"/>
      <c r="AS9" s="335"/>
      <c r="AT9" s="868"/>
      <c r="AU9" s="869"/>
      <c r="AV9" s="869"/>
      <c r="AW9" s="870"/>
      <c r="AX9" s="335"/>
      <c r="AY9" s="335"/>
      <c r="AZ9" s="878"/>
      <c r="BA9" s="879"/>
      <c r="BB9" s="879"/>
      <c r="BC9" s="88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9</v>
      </c>
      <c r="AV10" s="256" t="str">
        <f aca="true" t="shared" si="12" ref="AV10:AV19">INDEX(STARCHY,AU10)</f>
        <v>Potatoes</v>
      </c>
      <c r="AW10" s="256"/>
      <c r="AX10" s="334">
        <v>3</v>
      </c>
      <c r="AY10" s="334">
        <f>IF(AV10=0,"",INDEX(Cups,AX10))</f>
        <v>0.25</v>
      </c>
      <c r="AZ10" s="257"/>
      <c r="BA10" s="257">
        <v>36</v>
      </c>
      <c r="BB10" s="258" t="str">
        <f aca="true" t="shared" si="13" ref="BB10:BB19">INDEX(OTHER,BA10)</f>
        <v>Other unspecified</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2" t="s">
        <v>248</v>
      </c>
      <c r="U11" s="753"/>
      <c r="V11" s="753"/>
      <c r="W11" s="753"/>
      <c r="X11" s="753"/>
      <c r="Y11" s="753"/>
      <c r="Z11" s="754"/>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2</v>
      </c>
      <c r="AV11" s="103" t="str">
        <f t="shared" si="12"/>
        <v>Corn</v>
      </c>
      <c r="AW11" s="103"/>
      <c r="AX11" s="333">
        <v>5</v>
      </c>
      <c r="AY11" s="333">
        <f aca="true" t="shared" si="15" ref="AY11:AY19">IF(AV11=0,"",INDEX(Cups,AX11))</f>
        <v>0.5</v>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30"/>
      <c r="U12" s="931"/>
      <c r="V12" s="931"/>
      <c r="W12" s="931"/>
      <c r="X12" s="931"/>
      <c r="Y12" s="931"/>
      <c r="Z12" s="932"/>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12" t="s">
        <v>238</v>
      </c>
      <c r="U13" s="913"/>
      <c r="V13" s="913"/>
      <c r="W13" s="333">
        <v>1</v>
      </c>
      <c r="X13" s="333">
        <f>INDEX(Cups,W13)</f>
        <v>0</v>
      </c>
      <c r="Y13" s="920"/>
      <c r="Z13" s="921"/>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12"/>
      <c r="U14" s="913"/>
      <c r="V14" s="913"/>
      <c r="W14" s="333">
        <v>1</v>
      </c>
      <c r="X14" s="333">
        <f>INDEX(Cups,W14)</f>
        <v>0</v>
      </c>
      <c r="Y14" s="910"/>
      <c r="Z14" s="911"/>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12"/>
      <c r="U15" s="913"/>
      <c r="V15" s="913"/>
      <c r="W15" s="333">
        <v>1</v>
      </c>
      <c r="X15" s="333">
        <f>INDEX(Cups,W15)</f>
        <v>0</v>
      </c>
      <c r="Y15" s="910"/>
      <c r="Z15" s="911"/>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12"/>
      <c r="U16" s="913"/>
      <c r="V16" s="913"/>
      <c r="W16" s="333">
        <v>1</v>
      </c>
      <c r="X16" s="333">
        <f>INDEX(Cups,W16)</f>
        <v>0</v>
      </c>
      <c r="Y16" s="910"/>
      <c r="Z16" s="911"/>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12"/>
      <c r="U17" s="913"/>
      <c r="V17" s="913"/>
      <c r="W17" s="333">
        <v>1</v>
      </c>
      <c r="X17" s="333">
        <f>INDEX(Cups,W17)</f>
        <v>0</v>
      </c>
      <c r="Y17" s="916"/>
      <c r="Z17" s="917"/>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14"/>
      <c r="U18" s="915"/>
      <c r="V18" s="915"/>
      <c r="W18" s="263"/>
      <c r="X18" s="263"/>
      <c r="Y18" s="918">
        <f>SUM(X13:X17)</f>
        <v>0</v>
      </c>
      <c r="Z18" s="919"/>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33" t="s">
        <v>457</v>
      </c>
      <c r="U19" s="934"/>
      <c r="V19" s="934"/>
      <c r="W19" s="934"/>
      <c r="X19" s="934"/>
      <c r="Y19" s="934"/>
      <c r="Z19" s="935"/>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1" t="s">
        <v>239</v>
      </c>
      <c r="U20" s="936"/>
      <c r="V20" s="937"/>
      <c r="W20" s="203"/>
      <c r="X20" s="203"/>
      <c r="Y20" s="941"/>
      <c r="Z20" s="942"/>
      <c r="AB20" s="901"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38"/>
      <c r="U21" s="939"/>
      <c r="V21" s="940"/>
      <c r="W21" s="203"/>
      <c r="X21" s="203"/>
      <c r="Y21" s="943"/>
      <c r="Z21" s="944"/>
      <c r="AB21" s="843" t="s">
        <v>241</v>
      </c>
      <c r="AC21" s="844"/>
      <c r="AD21" s="844"/>
      <c r="AE21" s="844"/>
      <c r="AF21" s="286"/>
      <c r="AG21" s="286"/>
      <c r="AH21" s="845" t="s">
        <v>242</v>
      </c>
      <c r="AI21" s="845"/>
      <c r="AJ21" s="845"/>
      <c r="AK21" s="845"/>
      <c r="AL21" s="286"/>
      <c r="AM21" s="286"/>
      <c r="AN21" s="846" t="s">
        <v>243</v>
      </c>
      <c r="AO21" s="846"/>
      <c r="AP21" s="846"/>
      <c r="AQ21" s="846"/>
      <c r="AR21" s="286"/>
      <c r="AS21" s="286"/>
      <c r="AT21" s="847" t="s">
        <v>244</v>
      </c>
      <c r="AU21" s="847"/>
      <c r="AV21" s="847"/>
      <c r="AW21" s="847"/>
      <c r="AX21" s="286"/>
      <c r="AY21" s="286"/>
      <c r="AZ21" s="904" t="s">
        <v>245</v>
      </c>
      <c r="BA21" s="905"/>
      <c r="BB21" s="905"/>
      <c r="BC21" s="906"/>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36" t="s">
        <v>237</v>
      </c>
      <c r="U22" s="922"/>
      <c r="V22" s="923"/>
      <c r="W22" s="264"/>
      <c r="X22" s="264"/>
      <c r="Y22" s="926">
        <f>FLOOR(Y20,0.125)</f>
        <v>0</v>
      </c>
      <c r="Z22" s="927"/>
      <c r="AB22" s="872"/>
      <c r="AC22" s="873"/>
      <c r="AD22" s="873"/>
      <c r="AE22" s="873"/>
      <c r="AF22" s="402"/>
      <c r="AG22" s="402"/>
      <c r="AH22" s="867"/>
      <c r="AI22" s="867"/>
      <c r="AJ22" s="867"/>
      <c r="AK22" s="867"/>
      <c r="AL22" s="402"/>
      <c r="AM22" s="402"/>
      <c r="AN22" s="855"/>
      <c r="AO22" s="855"/>
      <c r="AP22" s="855"/>
      <c r="AQ22" s="855"/>
      <c r="AR22" s="402"/>
      <c r="AS22" s="402"/>
      <c r="AT22" s="856"/>
      <c r="AU22" s="856"/>
      <c r="AV22" s="856"/>
      <c r="AW22" s="856"/>
      <c r="AX22" s="402"/>
      <c r="AY22" s="402"/>
      <c r="AZ22" s="907" t="s">
        <v>800</v>
      </c>
      <c r="BA22" s="908"/>
      <c r="BB22" s="908"/>
      <c r="BC22" s="909"/>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37"/>
      <c r="U23" s="924"/>
      <c r="V23" s="925"/>
      <c r="W23" s="265"/>
      <c r="X23" s="265"/>
      <c r="Y23" s="928"/>
      <c r="Z23" s="929"/>
      <c r="AB23" s="872"/>
      <c r="AC23" s="873"/>
      <c r="AD23" s="873"/>
      <c r="AE23" s="873"/>
      <c r="AF23" s="402"/>
      <c r="AG23" s="402"/>
      <c r="AH23" s="867"/>
      <c r="AI23" s="867"/>
      <c r="AJ23" s="867"/>
      <c r="AK23" s="867"/>
      <c r="AL23" s="402"/>
      <c r="AM23" s="402"/>
      <c r="AN23" s="855"/>
      <c r="AO23" s="855"/>
      <c r="AP23" s="855"/>
      <c r="AQ23" s="855"/>
      <c r="AR23" s="402"/>
      <c r="AS23" s="402"/>
      <c r="AT23" s="856"/>
      <c r="AU23" s="856"/>
      <c r="AV23" s="856"/>
      <c r="AW23" s="856"/>
      <c r="AX23" s="402"/>
      <c r="AY23" s="402"/>
      <c r="AZ23" s="907"/>
      <c r="BA23" s="908"/>
      <c r="BB23" s="908"/>
      <c r="BC23" s="909"/>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57"/>
      <c r="AC24" s="858"/>
      <c r="AD24" s="858"/>
      <c r="AE24" s="858"/>
      <c r="AF24" s="402"/>
      <c r="AG24" s="402"/>
      <c r="AH24" s="867"/>
      <c r="AI24" s="867"/>
      <c r="AJ24" s="867"/>
      <c r="AK24" s="867"/>
      <c r="AL24" s="402"/>
      <c r="AM24" s="402"/>
      <c r="AN24" s="855"/>
      <c r="AO24" s="855"/>
      <c r="AP24" s="855"/>
      <c r="AQ24" s="855"/>
      <c r="AR24" s="402"/>
      <c r="AS24" s="402"/>
      <c r="AT24" s="856"/>
      <c r="AU24" s="856"/>
      <c r="AV24" s="856"/>
      <c r="AW24" s="856"/>
      <c r="AX24" s="402"/>
      <c r="AY24" s="402"/>
      <c r="AZ24" s="907"/>
      <c r="BA24" s="908"/>
      <c r="BB24" s="908"/>
      <c r="BC24" s="909"/>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57"/>
      <c r="AC25" s="858"/>
      <c r="AD25" s="858"/>
      <c r="AE25" s="858"/>
      <c r="AF25" s="402"/>
      <c r="AG25" s="402"/>
      <c r="AH25" s="867"/>
      <c r="AI25" s="867"/>
      <c r="AJ25" s="867"/>
      <c r="AK25" s="867"/>
      <c r="AL25" s="402"/>
      <c r="AM25" s="402"/>
      <c r="AN25" s="855"/>
      <c r="AO25" s="855"/>
      <c r="AP25" s="855"/>
      <c r="AQ25" s="855"/>
      <c r="AR25" s="402"/>
      <c r="AS25" s="402"/>
      <c r="AT25" s="856"/>
      <c r="AU25" s="856"/>
      <c r="AV25" s="856"/>
      <c r="AW25" s="856"/>
      <c r="AX25" s="402"/>
      <c r="AY25" s="402"/>
      <c r="AZ25" s="907"/>
      <c r="BA25" s="908"/>
      <c r="BB25" s="908"/>
      <c r="BC25" s="909"/>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860"/>
      <c r="AC26" s="861"/>
      <c r="AD26" s="861"/>
      <c r="AE26" s="861"/>
      <c r="AF26" s="403"/>
      <c r="AG26" s="403"/>
      <c r="AH26" s="871"/>
      <c r="AI26" s="871"/>
      <c r="AJ26" s="871"/>
      <c r="AK26" s="871"/>
      <c r="AL26" s="403"/>
      <c r="AM26" s="403"/>
      <c r="AN26" s="863"/>
      <c r="AO26" s="863"/>
      <c r="AP26" s="863"/>
      <c r="AQ26" s="863"/>
      <c r="AR26" s="403"/>
      <c r="AS26" s="403"/>
      <c r="AT26" s="864"/>
      <c r="AU26" s="864"/>
      <c r="AV26" s="864"/>
      <c r="AW26" s="864"/>
      <c r="AX26" s="403"/>
      <c r="AY26" s="403"/>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2012-10-21T15:31:04Z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